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상민\Desktop\"/>
    </mc:Choice>
  </mc:AlternateContent>
  <bookViews>
    <workbookView xWindow="0" yWindow="0" windowWidth="28800" windowHeight="12255"/>
  </bookViews>
  <sheets>
    <sheet name="서식 1,2,3,4" sheetId="1" r:id="rId1"/>
    <sheet name="개별 접수내역 및 서류심사" sheetId="5" state="hidden" r:id="rId2"/>
    <sheet name="현장심사표" sheetId="7" state="hidden" r:id="rId3"/>
    <sheet name="서류,현장심사 결과" sheetId="10" state="hidden" r:id="rId4"/>
    <sheet name="심의위원회 자료" sheetId="11" state="hidden" r:id="rId5"/>
  </sheets>
  <definedNames>
    <definedName name="_xlnm.Print_Area" localSheetId="0">'서식 1,2,3,4'!$A$1:$AZ$30</definedName>
    <definedName name="_xlnm.Print_Area" localSheetId="4">'심의위원회 자료'!$A$1:$O$48</definedName>
    <definedName name="_xlnm.Print_Area" localSheetId="2">현장심사표!$A$1:$N$44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1" l="1"/>
  <c r="M39" i="7"/>
  <c r="M38" i="7"/>
  <c r="N42" i="11" l="1"/>
  <c r="N41" i="11"/>
  <c r="N40" i="11"/>
  <c r="N39" i="11"/>
  <c r="N38" i="11"/>
  <c r="N36" i="11"/>
  <c r="N35" i="11"/>
  <c r="AV4" i="10"/>
  <c r="AU4" i="10"/>
  <c r="N30" i="11"/>
  <c r="N29" i="11"/>
  <c r="N28" i="11"/>
  <c r="N27" i="11"/>
  <c r="N26" i="11"/>
  <c r="N23" i="11"/>
  <c r="N22" i="11"/>
  <c r="N21" i="11"/>
  <c r="N20" i="11"/>
  <c r="N19" i="11"/>
  <c r="N18" i="11"/>
  <c r="N17" i="11"/>
  <c r="N16" i="11"/>
  <c r="N15" i="11"/>
  <c r="U4" i="10"/>
  <c r="AO4" i="10"/>
  <c r="AH4" i="10"/>
  <c r="AB4" i="10"/>
  <c r="W4" i="10"/>
  <c r="N11" i="11"/>
  <c r="N9" i="11" s="1"/>
  <c r="H30" i="11"/>
  <c r="H26" i="11"/>
  <c r="H23" i="11"/>
  <c r="H22" i="11"/>
  <c r="H18" i="11"/>
  <c r="H14" i="11"/>
  <c r="H12" i="11"/>
  <c r="H11" i="11"/>
  <c r="H9" i="11" s="1"/>
  <c r="C5" i="11"/>
  <c r="K4" i="11"/>
  <c r="C4" i="11"/>
  <c r="K3" i="11"/>
  <c r="C3" i="11"/>
  <c r="T4" i="10"/>
  <c r="S4" i="10"/>
  <c r="R4" i="10"/>
  <c r="Q4" i="10"/>
  <c r="P4" i="10"/>
  <c r="O4" i="10"/>
  <c r="N4" i="10"/>
  <c r="M4" i="10" s="1"/>
  <c r="H4" i="10"/>
  <c r="G4" i="10"/>
  <c r="F4" i="10"/>
  <c r="E4" i="10"/>
  <c r="D4" i="10"/>
  <c r="C4" i="10"/>
  <c r="AW4" i="10"/>
  <c r="AV3" i="5"/>
  <c r="B4" i="10"/>
  <c r="I3" i="7"/>
  <c r="F3" i="7"/>
  <c r="L5" i="7"/>
  <c r="H5" i="7"/>
  <c r="B5" i="7"/>
  <c r="B4" i="7"/>
  <c r="B3" i="7"/>
  <c r="N34" i="11" l="1"/>
  <c r="K5" i="11" s="1"/>
  <c r="L4" i="10"/>
  <c r="K4" i="10" s="1"/>
  <c r="J4" i="10" l="1"/>
  <c r="I4" i="10" s="1"/>
  <c r="AM3" i="5" l="1"/>
  <c r="AJ3" i="5"/>
  <c r="AW3" i="5" s="1"/>
  <c r="AL3" i="5"/>
  <c r="AY3" i="5" s="1"/>
  <c r="AK3" i="5"/>
  <c r="AX3" i="5" s="1"/>
  <c r="AH3" i="5"/>
  <c r="AG3" i="5"/>
  <c r="AU3" i="5" s="1"/>
  <c r="AF3" i="5"/>
  <c r="AT3" i="5" s="1"/>
  <c r="AE3" i="5"/>
  <c r="AS3" i="5" s="1"/>
  <c r="AD3" i="5"/>
  <c r="AR3" i="5" s="1"/>
  <c r="AC3" i="5"/>
  <c r="AQ3" i="5" s="1"/>
  <c r="AB3" i="5"/>
  <c r="AP3" i="5" s="1"/>
  <c r="AO3" i="5" s="1"/>
  <c r="AA3" i="5"/>
  <c r="Z3" i="5"/>
  <c r="Y3" i="5"/>
  <c r="X3" i="5"/>
  <c r="W3" i="5"/>
  <c r="BE3" i="5"/>
  <c r="BF3" i="5" s="1"/>
  <c r="AN3" i="5" l="1"/>
  <c r="V3" i="5" l="1"/>
  <c r="U3" i="5"/>
  <c r="T3" i="5"/>
  <c r="S3" i="5"/>
  <c r="AZ7" i="1"/>
  <c r="AZ6" i="1"/>
  <c r="AX7" i="1"/>
  <c r="AX6" i="1"/>
  <c r="T18" i="1"/>
  <c r="AG18" i="1" l="1"/>
  <c r="BG3" i="5"/>
  <c r="AX25" i="1" l="1"/>
  <c r="J29" i="1"/>
  <c r="BH3" i="5" l="1"/>
  <c r="Q3" i="5"/>
  <c r="P3" i="5"/>
  <c r="O3" i="5"/>
  <c r="N3" i="5"/>
  <c r="K3" i="5"/>
  <c r="J3" i="5"/>
  <c r="I3" i="5"/>
  <c r="BA3" i="5"/>
  <c r="BD3" i="5"/>
  <c r="H3" i="5"/>
  <c r="AZ3" i="5"/>
  <c r="BC3" i="5"/>
  <c r="G3" i="5"/>
  <c r="F3" i="5"/>
  <c r="E3" i="5"/>
  <c r="D3" i="5"/>
  <c r="C3" i="5"/>
  <c r="BB3" i="5"/>
  <c r="B3" i="5"/>
  <c r="L11" i="1"/>
  <c r="N13" i="1" l="1"/>
  <c r="R3" i="5" s="1"/>
  <c r="N11" i="1"/>
  <c r="L3" i="5"/>
  <c r="M3" i="5" l="1"/>
  <c r="P3" i="1"/>
  <c r="AM3" i="1" s="1"/>
  <c r="AZ3" i="1" l="1"/>
  <c r="AX4" i="1"/>
  <c r="AY27" i="1"/>
  <c r="AX3" i="1"/>
  <c r="AY26" i="1" s="1"/>
</calcChain>
</file>

<file path=xl/sharedStrings.xml><?xml version="1.0" encoding="utf-8"?>
<sst xmlns="http://schemas.openxmlformats.org/spreadsheetml/2006/main" count="411" uniqueCount="326">
  <si>
    <t>사업자등록번호</t>
  </si>
  <si>
    <t>주생산품</t>
  </si>
  <si>
    <t>주 업 종</t>
  </si>
  <si>
    <t>대표자</t>
  </si>
  <si>
    <t>성 명</t>
  </si>
  <si>
    <t>전화번호</t>
  </si>
  <si>
    <t>E-mail</t>
  </si>
  <si>
    <t>경기도지사 귀하</t>
  </si>
  <si>
    <t>신청
기업
정보</t>
    <phoneticPr fontId="2" type="noConversion"/>
  </si>
  <si>
    <t>사업자등록일자</t>
    <phoneticPr fontId="2" type="noConversion"/>
  </si>
  <si>
    <t>휴대전화</t>
    <phoneticPr fontId="2" type="noConversion"/>
  </si>
  <si>
    <t>담당</t>
    <phoneticPr fontId="2" type="noConversion"/>
  </si>
  <si>
    <t>[서식1]</t>
    <phoneticPr fontId="2" type="noConversion"/>
  </si>
  <si>
    <t>[서식2]</t>
    <phoneticPr fontId="2" type="noConversion"/>
  </si>
  <si>
    <t>[서식3]</t>
    <phoneticPr fontId="2" type="noConversion"/>
  </si>
  <si>
    <t>신청기업</t>
    <phoneticPr fontId="2" type="noConversion"/>
  </si>
  <si>
    <t>기업명</t>
    <phoneticPr fontId="2" type="noConversion"/>
  </si>
  <si>
    <t>성명</t>
    <phoneticPr fontId="2" type="noConversion"/>
  </si>
  <si>
    <t>사업자등록번호</t>
    <phoneticPr fontId="2" type="noConversion"/>
  </si>
  <si>
    <t>전화번호</t>
    <phoneticPr fontId="2" type="noConversion"/>
  </si>
  <si>
    <t>이메일</t>
    <phoneticPr fontId="2" type="noConversion"/>
  </si>
  <si>
    <t>대표자
(총괄책임자)</t>
    <phoneticPr fontId="2" type="noConversion"/>
  </si>
  <si>
    <t>실무담당자</t>
    <phoneticPr fontId="2" type="noConversion"/>
  </si>
  <si>
    <t>[서식4]</t>
    <phoneticPr fontId="2" type="noConversion"/>
  </si>
  <si>
    <t>경기도지사 귀하</t>
    <phoneticPr fontId="2" type="noConversion"/>
  </si>
  <si>
    <t>대표자</t>
    <phoneticPr fontId="2" type="noConversion"/>
  </si>
  <si>
    <t>(서명 또는 날인)</t>
    <phoneticPr fontId="2" type="noConversion"/>
  </si>
  <si>
    <t>※ 동의ㆍ확인ㆍ확약 사항에 대해서는 ‘■’ 또는 ‘v’ 표시</t>
    <phoneticPr fontId="2" type="noConversion"/>
  </si>
  <si>
    <t>접수번호</t>
    <phoneticPr fontId="2" type="noConversion"/>
  </si>
  <si>
    <t>기 업 명
(국문)</t>
    <phoneticPr fontId="2" type="noConversion"/>
  </si>
  <si>
    <t>기업 홈페이지</t>
    <phoneticPr fontId="2" type="noConversion"/>
  </si>
  <si>
    <t>우편
번호</t>
    <phoneticPr fontId="2" type="noConversion"/>
  </si>
  <si>
    <t>소재
시군명</t>
    <phoneticPr fontId="2" type="noConversion"/>
  </si>
  <si>
    <t>예시) 부천</t>
    <phoneticPr fontId="2" type="noConversion"/>
  </si>
  <si>
    <t>주소</t>
    <phoneticPr fontId="2" type="noConversion"/>
  </si>
  <si>
    <t>기업명</t>
    <phoneticPr fontId="2" type="noConversion"/>
  </si>
  <si>
    <t>-</t>
    <phoneticPr fontId="2" type="noConversion"/>
  </si>
  <si>
    <t>전화번호</t>
    <phoneticPr fontId="2" type="noConversion"/>
  </si>
  <si>
    <t>이메일</t>
    <phoneticPr fontId="2" type="noConversion"/>
  </si>
  <si>
    <t>주업종</t>
    <phoneticPr fontId="2" type="noConversion"/>
  </si>
  <si>
    <t>주생산품</t>
    <phoneticPr fontId="2" type="noConversion"/>
  </si>
  <si>
    <t>우편번호</t>
    <phoneticPr fontId="2" type="noConversion"/>
  </si>
  <si>
    <t>소재지</t>
    <phoneticPr fontId="2" type="noConversion"/>
  </si>
  <si>
    <t>설립일</t>
    <phoneticPr fontId="2" type="noConversion"/>
  </si>
  <si>
    <t>내용</t>
    <phoneticPr fontId="2" type="noConversion"/>
  </si>
  <si>
    <t xml:space="preserve">  2021년         월         일</t>
    <phoneticPr fontId="2" type="noConversion"/>
  </si>
  <si>
    <t>예시)2021-06-02</t>
    <phoneticPr fontId="2" type="noConversion"/>
  </si>
  <si>
    <r>
      <t>2021</t>
    </r>
    <r>
      <rPr>
        <b/>
        <sz val="20"/>
        <color rgb="FF000000"/>
        <rFont val="맑은 고딕"/>
        <family val="3"/>
        <charset val="129"/>
        <scheme val="minor"/>
      </rPr>
      <t>년</t>
    </r>
    <r>
      <rPr>
        <b/>
        <sz val="20"/>
        <color rgb="FF000000"/>
        <rFont val="맑은 고딕"/>
        <family val="1"/>
        <charset val="129"/>
        <scheme val="minor"/>
      </rPr>
      <t xml:space="preserve"> </t>
    </r>
    <r>
      <rPr>
        <b/>
        <sz val="20"/>
        <color rgb="FF000000"/>
        <rFont val="맑은 고딕"/>
        <family val="3"/>
        <charset val="129"/>
        <scheme val="minor"/>
      </rPr>
      <t>「노동안전보건</t>
    </r>
    <r>
      <rPr>
        <b/>
        <sz val="20"/>
        <color rgb="FF000000"/>
        <rFont val="맑은 고딕"/>
        <family val="1"/>
        <charset val="129"/>
        <scheme val="minor"/>
      </rPr>
      <t xml:space="preserve"> 우수기업</t>
    </r>
    <r>
      <rPr>
        <b/>
        <sz val="20"/>
        <color rgb="FF000000"/>
        <rFont val="맑은 고딕"/>
        <family val="3"/>
        <charset val="129"/>
        <scheme val="minor"/>
      </rPr>
      <t xml:space="preserve"> 인증사업」 신청서</t>
    </r>
    <phoneticPr fontId="2" type="noConversion"/>
  </si>
  <si>
    <t>기업유형
(여성기업 1, 벤처기업 2,
장애인기업 3, 일반기업 4)</t>
    <phoneticPr fontId="2" type="noConversion"/>
  </si>
  <si>
    <t>기업유형</t>
    <phoneticPr fontId="2" type="noConversion"/>
  </si>
  <si>
    <t>사업자등록일자
(설립일자)</t>
    <phoneticPr fontId="2" type="noConversion"/>
  </si>
  <si>
    <t>예시)1</t>
    <phoneticPr fontId="2" type="noConversion"/>
  </si>
  <si>
    <t>2020년 매출액
(재무제표 기준/원)</t>
  </si>
  <si>
    <t>남</t>
    <phoneticPr fontId="2" type="noConversion"/>
  </si>
  <si>
    <t>여</t>
    <phoneticPr fontId="2" type="noConversion"/>
  </si>
  <si>
    <t>총원</t>
    <phoneticPr fontId="2" type="noConversion"/>
  </si>
  <si>
    <t>상시종업원수
(2020.12월 말 기준)</t>
    <phoneticPr fontId="2" type="noConversion"/>
  </si>
  <si>
    <t>관리</t>
    <phoneticPr fontId="2" type="noConversion"/>
  </si>
  <si>
    <t>기술</t>
    <phoneticPr fontId="2" type="noConversion"/>
  </si>
  <si>
    <t>생산</t>
    <phoneticPr fontId="2" type="noConversion"/>
  </si>
  <si>
    <t>기타</t>
    <phoneticPr fontId="2" type="noConversion"/>
  </si>
  <si>
    <t>회사 사진</t>
    <phoneticPr fontId="2" type="noConversion"/>
  </si>
  <si>
    <t>회사 전경</t>
    <phoneticPr fontId="2" type="noConversion"/>
  </si>
  <si>
    <t>회사 내부</t>
    <phoneticPr fontId="2" type="noConversion"/>
  </si>
  <si>
    <t>직원휴게실</t>
    <phoneticPr fontId="2" type="noConversion"/>
  </si>
  <si>
    <t>소유형태</t>
    <phoneticPr fontId="2" type="noConversion"/>
  </si>
  <si>
    <r>
      <t>2021</t>
    </r>
    <r>
      <rPr>
        <b/>
        <sz val="20"/>
        <color rgb="FF000000"/>
        <rFont val="맑은 고딕"/>
        <family val="3"/>
        <charset val="129"/>
        <scheme val="minor"/>
      </rPr>
      <t>년</t>
    </r>
    <r>
      <rPr>
        <b/>
        <sz val="20"/>
        <color rgb="FF000000"/>
        <rFont val="맑은 고딕"/>
        <family val="1"/>
        <charset val="129"/>
        <scheme val="minor"/>
      </rPr>
      <t xml:space="preserve"> 노동안전보건 우수기업 노동환경개선자금 활용 계획서</t>
    </r>
    <phoneticPr fontId="2" type="noConversion"/>
  </si>
  <si>
    <t>신청구분
(산재교육1, 시설개선2, 안전장비3, 보건지원4)</t>
    <phoneticPr fontId="2" type="noConversion"/>
  </si>
  <si>
    <t xml:space="preserve"> 1. 신청배경 및 필요성</t>
    <phoneticPr fontId="2" type="noConversion"/>
  </si>
  <si>
    <t xml:space="preserve"> 2. 개요</t>
    <phoneticPr fontId="2" type="noConversion"/>
  </si>
  <si>
    <t>기간</t>
    <phoneticPr fontId="2" type="noConversion"/>
  </si>
  <si>
    <t>~</t>
    <phoneticPr fontId="2" type="noConversion"/>
  </si>
  <si>
    <t>대상(위치)</t>
    <phoneticPr fontId="2" type="noConversion"/>
  </si>
  <si>
    <t>※ 예시) 산재교육 : 본사 노동자 00명 / 시설개선 : 본사 직원휴게실 환경개선</t>
    <phoneticPr fontId="2" type="noConversion"/>
  </si>
  <si>
    <t xml:space="preserve"> 기대효과</t>
    <phoneticPr fontId="2" type="noConversion"/>
  </si>
  <si>
    <t>성명(직위)</t>
    <phoneticPr fontId="2" type="noConversion"/>
  </si>
  <si>
    <t>「2021년 노동안전보건 우수기업」 정보 수집ㆍ 활용 동의 및 사업참여 확약서</t>
    <phoneticPr fontId="2" type="noConversion"/>
  </si>
  <si>
    <t>예시)2</t>
    <phoneticPr fontId="2" type="noConversion"/>
  </si>
  <si>
    <t>2020 매출액</t>
    <phoneticPr fontId="2" type="noConversion"/>
  </si>
  <si>
    <t>검증</t>
    <phoneticPr fontId="2" type="noConversion"/>
  </si>
  <si>
    <t>담당자명</t>
    <phoneticPr fontId="2" type="noConversion"/>
  </si>
  <si>
    <t>자금활용신청구분</t>
    <phoneticPr fontId="2" type="noConversion"/>
  </si>
  <si>
    <t>자금활용 내용</t>
    <phoneticPr fontId="2" type="noConversion"/>
  </si>
  <si>
    <t xml:space="preserve"> 대표자</t>
    <phoneticPr fontId="2" type="noConversion"/>
  </si>
  <si>
    <t>(인)</t>
    <phoneticPr fontId="2" type="noConversion"/>
  </si>
  <si>
    <t>(직위 :     )</t>
    <phoneticPr fontId="2" type="noConversion"/>
  </si>
  <si>
    <t>50인
미만</t>
    <phoneticPr fontId="2" type="noConversion"/>
  </si>
  <si>
    <t>합계
검증</t>
    <phoneticPr fontId="2" type="noConversion"/>
  </si>
  <si>
    <t>50인 미만</t>
    <phoneticPr fontId="2" type="noConversion"/>
  </si>
  <si>
    <t>개선 전 사진</t>
    <phoneticPr fontId="2" type="noConversion"/>
  </si>
  <si>
    <t>공사명</t>
    <phoneticPr fontId="2" type="noConversion"/>
  </si>
  <si>
    <t>세부항목</t>
    <phoneticPr fontId="2" type="noConversion"/>
  </si>
  <si>
    <t>소요예산(원)</t>
    <phoneticPr fontId="2" type="noConversion"/>
  </si>
  <si>
    <t>산출내역</t>
    <phoneticPr fontId="2" type="noConversion"/>
  </si>
  <si>
    <t>예시) 주차공간 구획공사</t>
    <phoneticPr fontId="2" type="noConversion"/>
  </si>
  <si>
    <t>예시) 도색비</t>
    <phoneticPr fontId="2" type="noConversion"/>
  </si>
  <si>
    <t>예시) 시공비</t>
    <phoneticPr fontId="2" type="noConversion"/>
  </si>
  <si>
    <t>소요예산 총액</t>
    <phoneticPr fontId="2" type="noConversion"/>
  </si>
  <si>
    <t>자부담비
(부가가치세 제외, 최대 500만원 지원)</t>
    <phoneticPr fontId="2" type="noConversion"/>
  </si>
  <si>
    <t>예시) 20면 도색 페인트 1,000,000원
        20면 도색 인건비 2,000,000원</t>
    <phoneticPr fontId="2" type="noConversion"/>
  </si>
  <si>
    <t>예시) 라바콘 20개          1,000,000원
        라바콘 볼트 80개      500,000원
        라바콘 작업 인건비 1,000,000원</t>
    <phoneticPr fontId="2" type="noConversion"/>
  </si>
  <si>
    <t>휴대
전화</t>
    <phoneticPr fontId="2" type="noConversion"/>
  </si>
  <si>
    <t>no.</t>
    <phoneticPr fontId="2" type="noConversion"/>
  </si>
  <si>
    <t>업종</t>
    <phoneticPr fontId="2" type="noConversion"/>
  </si>
  <si>
    <t>생산품</t>
    <phoneticPr fontId="2" type="noConversion"/>
  </si>
  <si>
    <t>현장심사 평가표</t>
    <phoneticPr fontId="2" type="noConversion"/>
  </si>
  <si>
    <t>예시)제조업</t>
    <phoneticPr fontId="2" type="noConversion"/>
  </si>
  <si>
    <t>예시)</t>
    <phoneticPr fontId="2" type="noConversion"/>
  </si>
  <si>
    <t>소요예산</t>
    <phoneticPr fontId="2" type="noConversion"/>
  </si>
  <si>
    <t>점검자</t>
    <phoneticPr fontId="2" type="noConversion"/>
  </si>
  <si>
    <t>담당자</t>
    <phoneticPr fontId="2" type="noConversion"/>
  </si>
  <si>
    <t>휴대전화</t>
    <phoneticPr fontId="2" type="noConversion"/>
  </si>
  <si>
    <t>준비서류</t>
    <phoneticPr fontId="2" type="noConversion"/>
  </si>
  <si>
    <t>구분</t>
    <phoneticPr fontId="2" type="noConversion"/>
  </si>
  <si>
    <t>확인</t>
    <phoneticPr fontId="2" type="noConversion"/>
  </si>
  <si>
    <t>안전관리계획 수립 서류</t>
    <phoneticPr fontId="2" type="noConversion"/>
  </si>
  <si>
    <t>위험성평가 실시 서류</t>
    <phoneticPr fontId="2" type="noConversion"/>
  </si>
  <si>
    <t>확인(O,X)</t>
    <phoneticPr fontId="2" type="noConversion"/>
  </si>
  <si>
    <t>비고</t>
    <phoneticPr fontId="2" type="noConversion"/>
  </si>
  <si>
    <t>결재 문서</t>
    <phoneticPr fontId="2" type="noConversion"/>
  </si>
  <si>
    <t>X</t>
    <phoneticPr fontId="2" type="noConversion"/>
  </si>
  <si>
    <t>O</t>
    <phoneticPr fontId="2" type="noConversion"/>
  </si>
  <si>
    <t>위험성평가 계획, 결과문서</t>
    <phoneticPr fontId="2" type="noConversion"/>
  </si>
  <si>
    <t>정기 안전보건 교육 서류</t>
    <phoneticPr fontId="2" type="noConversion"/>
  </si>
  <si>
    <t>안전보건 관련 예산 내역</t>
    <phoneticPr fontId="2" type="noConversion"/>
  </si>
  <si>
    <t>관련 예산 편성, 집행내역</t>
    <phoneticPr fontId="2" type="noConversion"/>
  </si>
  <si>
    <t>안전보건 조직구성, 직무 부여</t>
    <phoneticPr fontId="2" type="noConversion"/>
  </si>
  <si>
    <t>안전보건 교육 관련사항</t>
    <phoneticPr fontId="2" type="noConversion"/>
  </si>
  <si>
    <t>직원 건강검진 계획</t>
    <phoneticPr fontId="2" type="noConversion"/>
  </si>
  <si>
    <t>안전장치 및 보호구 관련사항</t>
    <phoneticPr fontId="2" type="noConversion"/>
  </si>
  <si>
    <t>유해, 위험요인 파악</t>
    <phoneticPr fontId="2" type="noConversion"/>
  </si>
  <si>
    <t>위험성 결정</t>
    <phoneticPr fontId="2" type="noConversion"/>
  </si>
  <si>
    <t>위험성 결정에 따른 조치내용</t>
    <phoneticPr fontId="2" type="noConversion"/>
  </si>
  <si>
    <t>안전보건 교육실시 예산</t>
    <phoneticPr fontId="2" type="noConversion"/>
  </si>
  <si>
    <t>위험성평가 조치관련 예산</t>
    <phoneticPr fontId="2" type="noConversion"/>
  </si>
  <si>
    <t>안전장치, 보호구 예산</t>
    <phoneticPr fontId="2" type="noConversion"/>
  </si>
  <si>
    <t>근로환경 개선 관련 예산</t>
    <phoneticPr fontId="2" type="noConversion"/>
  </si>
  <si>
    <t>평가총점</t>
    <phoneticPr fontId="2" type="noConversion"/>
  </si>
  <si>
    <t>소유형태
(자가 1, 임대 2)</t>
    <phoneticPr fontId="2" type="noConversion"/>
  </si>
  <si>
    <r>
      <t>󰊱 기업 및 개인 정보 수집ㆍ이용 동의               □동의함  □동의하지 않음
▪ 상기 기업 및 개인(대표자, 총괄책임자)은 「2021년 노동안전보건 우수기업 」에 개인 및 기업 
   (신용)정보를 수집·이용하는 것에 동의합니다.
▪ 수집</t>
    </r>
    <r>
      <rPr>
        <b/>
        <sz val="18"/>
        <rFont val="MS Gothic"/>
        <family val="3"/>
        <charset val="128"/>
      </rPr>
      <t>･</t>
    </r>
    <r>
      <rPr>
        <b/>
        <sz val="18"/>
        <rFont val="굴림"/>
        <family val="3"/>
        <charset val="129"/>
      </rPr>
      <t>이용목적 : 사업 신청자 선정 및 지원, 기업 및 개인의 적법</t>
    </r>
    <r>
      <rPr>
        <b/>
        <sz val="18"/>
        <rFont val="MS Gothic"/>
        <family val="3"/>
        <charset val="128"/>
      </rPr>
      <t>･</t>
    </r>
    <r>
      <rPr>
        <b/>
        <sz val="18"/>
        <rFont val="굴림"/>
        <family val="3"/>
        <charset val="129"/>
      </rPr>
      <t>적정성 평가를 위한 관리
▪ 수집 개인정보의 항목 : 기업명, 연락처, 주소, 사업자등록번호, 연매출, 위험성평가 정보 등
▪ 이용범위 : 행정목적 달성 및 사업진행을 위한 정보 제공, 일자리관련 사업·정책정보 제공
※ 개인정보 수집동의를 거부하실 수 있으며 다만, 이 경우 지원사업 신청이 제한됩니다.
󰊲 사업 참여의사 확인                    □확인함  □확인하지 않음
▪ 상기 기업 및 개인(대표자, 총괄책임자)는 「2021년 노동안전보건 우수기업 」참여를  위해 제출한 신청서 내용에 확인하고,  지원 대상으로 선정될 시 관련 법령 및 규정, 시행 지침 등을 준수하면서 본 사업에 적극 참여할 것을 확인합니다.</t>
    </r>
    <phoneticPr fontId="2" type="noConversion"/>
  </si>
  <si>
    <t>산업재해 발생현황</t>
    <phoneticPr fontId="2" type="noConversion"/>
  </si>
  <si>
    <t>평가지표</t>
    <phoneticPr fontId="2" type="noConversion"/>
  </si>
  <si>
    <t>예시)부가세</t>
    <phoneticPr fontId="2" type="noConversion"/>
  </si>
  <si>
    <t>소재지</t>
    <phoneticPr fontId="2" type="noConversion"/>
  </si>
  <si>
    <t>배점</t>
    <phoneticPr fontId="2" type="noConversion"/>
  </si>
  <si>
    <t>서류심사</t>
    <phoneticPr fontId="2" type="noConversion"/>
  </si>
  <si>
    <t>무상해사고(시설)</t>
    <phoneticPr fontId="2" type="noConversion"/>
  </si>
  <si>
    <t xml:space="preserve">3일이상 휴업 </t>
    <phoneticPr fontId="2" type="noConversion"/>
  </si>
  <si>
    <t>노동안전보건 관리</t>
    <phoneticPr fontId="2" type="noConversion"/>
  </si>
  <si>
    <t>안전관리계획</t>
    <phoneticPr fontId="2" type="noConversion"/>
  </si>
  <si>
    <t>현장심사</t>
    <phoneticPr fontId="2" type="noConversion"/>
  </si>
  <si>
    <t>조직,직무</t>
    <phoneticPr fontId="2" type="noConversion"/>
  </si>
  <si>
    <t>교육</t>
    <phoneticPr fontId="2" type="noConversion"/>
  </si>
  <si>
    <t>건강검진</t>
    <phoneticPr fontId="2" type="noConversion"/>
  </si>
  <si>
    <t>안전장치</t>
    <phoneticPr fontId="2" type="noConversion"/>
  </si>
  <si>
    <t>득점</t>
    <phoneticPr fontId="2" type="noConversion"/>
  </si>
  <si>
    <t>위험성평가 실시</t>
    <phoneticPr fontId="2" type="noConversion"/>
  </si>
  <si>
    <t>시행계획</t>
    <phoneticPr fontId="2" type="noConversion"/>
  </si>
  <si>
    <t>요인파악</t>
    <phoneticPr fontId="2" type="noConversion"/>
  </si>
  <si>
    <t>위험 결정</t>
    <phoneticPr fontId="2" type="noConversion"/>
  </si>
  <si>
    <t>조치내용</t>
    <phoneticPr fontId="2" type="noConversion"/>
  </si>
  <si>
    <t>직원휴게실 설치</t>
    <phoneticPr fontId="2" type="noConversion"/>
  </si>
  <si>
    <t>설치 확인</t>
    <phoneticPr fontId="2" type="noConversion"/>
  </si>
  <si>
    <t>100%이수</t>
    <phoneticPr fontId="2" type="noConversion"/>
  </si>
  <si>
    <t>70~99%</t>
    <phoneticPr fontId="2" type="noConversion"/>
  </si>
  <si>
    <t>69%이하</t>
    <phoneticPr fontId="2" type="noConversion"/>
  </si>
  <si>
    <t>안전보건 예산</t>
    <phoneticPr fontId="2" type="noConversion"/>
  </si>
  <si>
    <t>90~100%</t>
    <phoneticPr fontId="2" type="noConversion"/>
  </si>
  <si>
    <t>70~89%</t>
    <phoneticPr fontId="2" type="noConversion"/>
  </si>
  <si>
    <t>내용</t>
    <phoneticPr fontId="2" type="noConversion"/>
  </si>
  <si>
    <t>위험성평가</t>
    <phoneticPr fontId="2" type="noConversion"/>
  </si>
  <si>
    <t>환경개선</t>
    <phoneticPr fontId="2" type="noConversion"/>
  </si>
  <si>
    <t>계</t>
    <phoneticPr fontId="2" type="noConversion"/>
  </si>
  <si>
    <t>안전보건교육
(구간별 선택점수)</t>
    <phoneticPr fontId="2" type="noConversion"/>
  </si>
  <si>
    <t>원본확인</t>
    <phoneticPr fontId="2" type="noConversion"/>
  </si>
  <si>
    <t>예산대비 집행
(구간별 선택점수)</t>
    <phoneticPr fontId="2" type="noConversion"/>
  </si>
  <si>
    <t>가점영역</t>
    <phoneticPr fontId="2" type="noConversion"/>
  </si>
  <si>
    <t>안전관리 모범사례</t>
    <phoneticPr fontId="2" type="noConversion"/>
  </si>
  <si>
    <t>위험성평가 인정</t>
    <phoneticPr fontId="2" type="noConversion"/>
  </si>
  <si>
    <t>휴게시설 설치</t>
    <phoneticPr fontId="2" type="noConversion"/>
  </si>
  <si>
    <t>지상 설치 여부</t>
    <phoneticPr fontId="2" type="noConversion"/>
  </si>
  <si>
    <t>적정 공간(6평방미터)</t>
    <phoneticPr fontId="2" type="noConversion"/>
  </si>
  <si>
    <t>필요물품 비치</t>
    <phoneticPr fontId="2" type="noConversion"/>
  </si>
  <si>
    <t>적정 휴게시간 부여</t>
    <phoneticPr fontId="2" type="noConversion"/>
  </si>
  <si>
    <t>유해물질 취급장소 분리</t>
    <phoneticPr fontId="2" type="noConversion"/>
  </si>
  <si>
    <t>인증서, 행사 사진</t>
    <phoneticPr fontId="2" type="noConversion"/>
  </si>
  <si>
    <t>안전보건공단 인정서류</t>
    <phoneticPr fontId="2" type="noConversion"/>
  </si>
  <si>
    <t>현장 확인</t>
    <phoneticPr fontId="2" type="noConversion"/>
  </si>
  <si>
    <t>&lt;50&gt;</t>
    <phoneticPr fontId="2" type="noConversion"/>
  </si>
  <si>
    <r>
      <t>2021</t>
    </r>
    <r>
      <rPr>
        <b/>
        <sz val="20"/>
        <color rgb="FF000000"/>
        <rFont val="맑은 고딕"/>
        <family val="3"/>
        <charset val="129"/>
        <scheme val="minor"/>
      </rPr>
      <t>년</t>
    </r>
    <r>
      <rPr>
        <b/>
        <sz val="20"/>
        <color rgb="FF000000"/>
        <rFont val="맑은 고딕"/>
        <family val="1"/>
        <charset val="129"/>
        <scheme val="minor"/>
      </rPr>
      <t xml:space="preserve"> 노동안전보건 우수기업 인증사업 신청 자가점검표</t>
    </r>
    <phoneticPr fontId="2" type="noConversion"/>
  </si>
  <si>
    <t>【제출서류】
1. 사업신청서(노동환경개선자금 활용 계획서, 자가점검표, 정보 수집활용 동의 및 사업참여 확약서 포함)
2. 중소기업확인서, 사업자등록증, 2020년12월 기준 원천징수이행상황신고서
3. 최근 2년간(2019~2020) 산업재해율 확인서(안전보건공단)와 산재요양승인/반려여부 확인서(근로복지공단)
4. 국세, 지방세 완납증명서 ,  기타 증빙서류
【제출방법】이메일 
- 이메일 : @gjf.or.kr  / 메일제목 및 제출 서류명 : 2021년 노동안전보건 우수기업 인증 신청_회사명
              (본 엑셀파일, 서류 날인본 전체 1개 PDF 파일 전송 / 최종 제출 : 엑셀 파일 1, PDF 파일 1)</t>
    <phoneticPr fontId="2" type="noConversion"/>
  </si>
  <si>
    <t>작성자</t>
    <phoneticPr fontId="2" type="noConversion"/>
  </si>
  <si>
    <t>기본요건</t>
    <phoneticPr fontId="2" type="noConversion"/>
  </si>
  <si>
    <t>답변</t>
    <phoneticPr fontId="2" type="noConversion"/>
  </si>
  <si>
    <t>중소기업에 해당합니까?</t>
    <phoneticPr fontId="2" type="noConversion"/>
  </si>
  <si>
    <t>상시근로자수 50인 미만 사업장입니까?</t>
    <phoneticPr fontId="2" type="noConversion"/>
  </si>
  <si>
    <t>현재 국세 지방세 체납 사실이 없습니까?</t>
    <phoneticPr fontId="2" type="noConversion"/>
  </si>
  <si>
    <t>답변 작성</t>
    <phoneticPr fontId="2" type="noConversion"/>
  </si>
  <si>
    <t>그렇다 1, 그렇지 않다 2(숫자 기재)</t>
    <phoneticPr fontId="2" type="noConversion"/>
  </si>
  <si>
    <t>제출서류</t>
    <phoneticPr fontId="2" type="noConversion"/>
  </si>
  <si>
    <t>제출여부</t>
    <phoneticPr fontId="2" type="noConversion"/>
  </si>
  <si>
    <t>사업자등록증</t>
    <phoneticPr fontId="2" type="noConversion"/>
  </si>
  <si>
    <t>중소기업확인서</t>
    <phoneticPr fontId="2" type="noConversion"/>
  </si>
  <si>
    <t>2020.12.분
원천징수이행상황신고서</t>
    <phoneticPr fontId="2" type="noConversion"/>
  </si>
  <si>
    <t>국세완납증명</t>
    <phoneticPr fontId="2" type="noConversion"/>
  </si>
  <si>
    <t>지방세완납증명</t>
    <phoneticPr fontId="2" type="noConversion"/>
  </si>
  <si>
    <t>산업재해율 확인서</t>
    <phoneticPr fontId="2" type="noConversion"/>
  </si>
  <si>
    <t>산재요양승인/반려확인서</t>
    <phoneticPr fontId="2" type="noConversion"/>
  </si>
  <si>
    <t>(대상기간 : 2019~2020)</t>
    <phoneticPr fontId="2" type="noConversion"/>
  </si>
  <si>
    <t>안전관리계획을 수립하였습니까?</t>
    <phoneticPr fontId="2" type="noConversion"/>
  </si>
  <si>
    <t>안전관리계획서</t>
    <phoneticPr fontId="2" type="noConversion"/>
  </si>
  <si>
    <t>위험성평가를 실시하였습니까?</t>
    <phoneticPr fontId="2" type="noConversion"/>
  </si>
  <si>
    <t>위험성평가 시행문서</t>
    <phoneticPr fontId="2" type="noConversion"/>
  </si>
  <si>
    <t>직원휴게실을 설치, 운영중입니까?</t>
    <phoneticPr fontId="2" type="noConversion"/>
  </si>
  <si>
    <t>휴게실 내부 사진</t>
    <phoneticPr fontId="2" type="noConversion"/>
  </si>
  <si>
    <t>분기별 교육내역/이수증
(대상인원, 실시인원)</t>
    <phoneticPr fontId="2" type="noConversion"/>
  </si>
  <si>
    <t>안전보건 관련 예산을 수립하였습니까?</t>
    <phoneticPr fontId="2" type="noConversion"/>
  </si>
  <si>
    <t>안전보건 관련 예산 집행내역이 있습니까?</t>
    <phoneticPr fontId="2" type="noConversion"/>
  </si>
  <si>
    <t>예산 수립 결재문서</t>
    <phoneticPr fontId="2" type="noConversion"/>
  </si>
  <si>
    <t>예산집행 결재문서</t>
    <phoneticPr fontId="2" type="noConversion"/>
  </si>
  <si>
    <t>가점영역(현장심사 예정)</t>
    <phoneticPr fontId="2" type="noConversion"/>
  </si>
  <si>
    <t>안전관리 모범사례가 있습니까?</t>
    <phoneticPr fontId="2" type="noConversion"/>
  </si>
  <si>
    <t>인증, 행사 사진 등</t>
    <phoneticPr fontId="2" type="noConversion"/>
  </si>
  <si>
    <t>위험성평가 인정서류</t>
    <phoneticPr fontId="2" type="noConversion"/>
  </si>
  <si>
    <t>휴게시설이 지상에 있습니까?</t>
    <phoneticPr fontId="2" type="noConversion"/>
  </si>
  <si>
    <t>휴게시설 면적이 6㎥ 이상입니까?</t>
    <phoneticPr fontId="2" type="noConversion"/>
  </si>
  <si>
    <t>휴게시설 필요물품이 설치되어 있습니까?
(소파, 냉장고, 정수기, 환기시설 등)</t>
    <phoneticPr fontId="2" type="noConversion"/>
  </si>
  <si>
    <t>제출 1, 미제출 2</t>
    <phoneticPr fontId="2" type="noConversion"/>
  </si>
  <si>
    <t xml:space="preserve"> 현재 경기도내 사업장등록 업체입니까?</t>
    <phoneticPr fontId="2" type="noConversion"/>
  </si>
  <si>
    <t>산업안전보건법 제2조의 '중대재해' 
 발생이 없습니까?</t>
    <phoneticPr fontId="2" type="noConversion"/>
  </si>
  <si>
    <t>산업안전보건 관련 법정의무교육을 
 실시하였습니까?</t>
    <phoneticPr fontId="2" type="noConversion"/>
  </si>
  <si>
    <t>안전보건공단으로부터 위험성평가 인정을 
 받은 사업장입니까?</t>
    <phoneticPr fontId="2" type="noConversion"/>
  </si>
  <si>
    <t>(유해물질 취급사업장의 경우)휴게공간과 
 유해물질 취급장소가 분리되어 있습니까?</t>
    <phoneticPr fontId="2" type="noConversion"/>
  </si>
  <si>
    <t>현장 확인 예정
-휴게시설 도면 등 직접 확인</t>
    <phoneticPr fontId="2" type="noConversion"/>
  </si>
  <si>
    <t>서류심사(세부내역 현장심사 예정)</t>
    <phoneticPr fontId="2" type="noConversion"/>
  </si>
  <si>
    <t>자금활용</t>
    <phoneticPr fontId="2" type="noConversion"/>
  </si>
  <si>
    <t>기본서류. 사업자등록증</t>
    <phoneticPr fontId="2" type="noConversion"/>
  </si>
  <si>
    <t>원천징수이행상황신고서</t>
    <phoneticPr fontId="2" type="noConversion"/>
  </si>
  <si>
    <t>산재확인</t>
    <phoneticPr fontId="2" type="noConversion"/>
  </si>
  <si>
    <t>산재요양확인</t>
    <phoneticPr fontId="2" type="noConversion"/>
  </si>
  <si>
    <t>안전관리계획</t>
    <phoneticPr fontId="2" type="noConversion"/>
  </si>
  <si>
    <t>위험성평가</t>
    <phoneticPr fontId="2" type="noConversion"/>
  </si>
  <si>
    <t>직원휴게실</t>
    <phoneticPr fontId="2" type="noConversion"/>
  </si>
  <si>
    <t>법정의무교육</t>
    <phoneticPr fontId="2" type="noConversion"/>
  </si>
  <si>
    <t>안전보건 예산</t>
    <phoneticPr fontId="2" type="noConversion"/>
  </si>
  <si>
    <t>예산 집행</t>
    <phoneticPr fontId="2" type="noConversion"/>
  </si>
  <si>
    <t>안전관리 모범사례</t>
    <phoneticPr fontId="2" type="noConversion"/>
  </si>
  <si>
    <t>위험성평가 인정</t>
    <phoneticPr fontId="2" type="noConversion"/>
  </si>
  <si>
    <t>총점(100)</t>
    <phoneticPr fontId="2" type="noConversion"/>
  </si>
  <si>
    <t>3일이상 휴업(20)</t>
    <phoneticPr fontId="2" type="noConversion"/>
  </si>
  <si>
    <t>기본서류 제출</t>
    <phoneticPr fontId="2" type="noConversion"/>
  </si>
  <si>
    <t>재해율(50)</t>
    <phoneticPr fontId="2" type="noConversion"/>
  </si>
  <si>
    <t>무상해사고(30)</t>
    <phoneticPr fontId="2" type="noConversion"/>
  </si>
  <si>
    <t>안전관리계획(10)</t>
    <phoneticPr fontId="2" type="noConversion"/>
  </si>
  <si>
    <t>위험성평가(10)</t>
    <phoneticPr fontId="2" type="noConversion"/>
  </si>
  <si>
    <t>직원휴게실(10)</t>
    <phoneticPr fontId="2" type="noConversion"/>
  </si>
  <si>
    <t>법정의무교육(10)</t>
    <phoneticPr fontId="2" type="noConversion"/>
  </si>
  <si>
    <t>예산계획(5)</t>
    <phoneticPr fontId="2" type="noConversion"/>
  </si>
  <si>
    <t>예산집행(5)</t>
    <phoneticPr fontId="2" type="noConversion"/>
  </si>
  <si>
    <t>모범사례</t>
    <phoneticPr fontId="2" type="noConversion"/>
  </si>
  <si>
    <t>전화</t>
    <phoneticPr fontId="2" type="noConversion"/>
  </si>
  <si>
    <t>안전보건공단 산업재해율확인서</t>
    <phoneticPr fontId="2" type="noConversion"/>
  </si>
  <si>
    <t>근로복지공단 승인/반려 확인서</t>
    <phoneticPr fontId="2" type="noConversion"/>
  </si>
  <si>
    <t>확인점수</t>
    <phoneticPr fontId="2" type="noConversion"/>
  </si>
  <si>
    <t>시행계획 결재문서</t>
    <phoneticPr fontId="2" type="noConversion"/>
  </si>
  <si>
    <t>산업재해 발생현황(50)</t>
    <phoneticPr fontId="2" type="noConversion"/>
  </si>
  <si>
    <t>안전관리계획 수립 정도(10)</t>
    <phoneticPr fontId="2" type="noConversion"/>
  </si>
  <si>
    <t>위험성평가 실시정도(10)</t>
    <phoneticPr fontId="2" type="noConversion"/>
  </si>
  <si>
    <t>배점/기준(110)</t>
    <phoneticPr fontId="2" type="noConversion"/>
  </si>
  <si>
    <t>분기별 합산 이수율(8개 분기)</t>
    <phoneticPr fontId="2" type="noConversion"/>
  </si>
  <si>
    <t>법정 안전보건 교육(10)
2019~2020</t>
    <phoneticPr fontId="2" type="noConversion"/>
  </si>
  <si>
    <t>100%(10), 70~99%(8), 69%이하(6)</t>
    <phoneticPr fontId="2" type="noConversion"/>
  </si>
  <si>
    <t>10,8,6</t>
    <phoneticPr fontId="2" type="noConversion"/>
  </si>
  <si>
    <t>안전보건 예산 수립(5)</t>
    <phoneticPr fontId="2" type="noConversion"/>
  </si>
  <si>
    <t>안전보건 예산 집행(5)</t>
    <phoneticPr fontId="2" type="noConversion"/>
  </si>
  <si>
    <t>예산계획 대비 집행률</t>
    <phoneticPr fontId="2" type="noConversion"/>
  </si>
  <si>
    <t>90~100%(5),70~89%(3)3,69%미만(1)</t>
    <phoneticPr fontId="2" type="noConversion"/>
  </si>
  <si>
    <t>5,3,1</t>
    <phoneticPr fontId="2" type="noConversion"/>
  </si>
  <si>
    <t>휴게시설 운영
(가점항목 포함)</t>
    <phoneticPr fontId="2" type="noConversion"/>
  </si>
  <si>
    <t>지상 설치</t>
    <phoneticPr fontId="2" type="noConversion"/>
  </si>
  <si>
    <t>적정공간(6㎥) 이상 여부</t>
    <phoneticPr fontId="2" type="noConversion"/>
  </si>
  <si>
    <t>필요물품 비치 여부</t>
    <phoneticPr fontId="2" type="noConversion"/>
  </si>
  <si>
    <t>적정 휴게시간 부여(사규 확인)</t>
    <phoneticPr fontId="2" type="noConversion"/>
  </si>
  <si>
    <t>유해물질 취급장소 분리설치</t>
    <phoneticPr fontId="2" type="noConversion"/>
  </si>
  <si>
    <t>위험성평가 안전사업장</t>
    <phoneticPr fontId="2" type="noConversion"/>
  </si>
  <si>
    <t>인증서, 행사사진 등</t>
    <phoneticPr fontId="2" type="noConversion"/>
  </si>
  <si>
    <t>안전보건공단 인정서류</t>
    <phoneticPr fontId="2" type="noConversion"/>
  </si>
  <si>
    <t>&lt;총평&gt;</t>
    <phoneticPr fontId="2" type="noConversion"/>
  </si>
  <si>
    <t>점검일</t>
    <phoneticPr fontId="2" type="noConversion"/>
  </si>
  <si>
    <t>생산품</t>
    <phoneticPr fontId="2" type="noConversion"/>
  </si>
  <si>
    <t>설립일</t>
    <phoneticPr fontId="2" type="noConversion"/>
  </si>
  <si>
    <t>소재지</t>
    <phoneticPr fontId="2" type="noConversion"/>
  </si>
  <si>
    <t>근로인원</t>
    <phoneticPr fontId="2" type="noConversion"/>
  </si>
  <si>
    <t>연매출액</t>
    <phoneticPr fontId="2" type="noConversion"/>
  </si>
  <si>
    <t>예산 집행(5)</t>
    <phoneticPr fontId="2" type="noConversion"/>
  </si>
  <si>
    <t>순위</t>
    <phoneticPr fontId="2" type="noConversion"/>
  </si>
  <si>
    <t>총점(210)</t>
    <phoneticPr fontId="2" type="noConversion"/>
  </si>
  <si>
    <t>소계</t>
    <phoneticPr fontId="2" type="noConversion"/>
  </si>
  <si>
    <t>현장심사(110) 점수</t>
    <phoneticPr fontId="2" type="noConversion"/>
  </si>
  <si>
    <t>서류심사(100) 점수</t>
    <phoneticPr fontId="2" type="noConversion"/>
  </si>
  <si>
    <t>휴게시설(10)</t>
    <phoneticPr fontId="2" type="noConversion"/>
  </si>
  <si>
    <t>휴게시설 가점(5)</t>
    <phoneticPr fontId="2" type="noConversion"/>
  </si>
  <si>
    <t>모범사례가점(2)</t>
    <phoneticPr fontId="2" type="noConversion"/>
  </si>
  <si>
    <t>위험성평가인정(3)</t>
    <phoneticPr fontId="2" type="noConversion"/>
  </si>
  <si>
    <t>소계</t>
    <phoneticPr fontId="2" type="noConversion"/>
  </si>
  <si>
    <t>심의위원회(10)</t>
    <phoneticPr fontId="2" type="noConversion"/>
  </si>
  <si>
    <t>총평(5)</t>
    <phoneticPr fontId="2" type="noConversion"/>
  </si>
  <si>
    <t>개선자금계획(5)</t>
    <phoneticPr fontId="2" type="noConversion"/>
  </si>
  <si>
    <t>서류,현장심사 합계</t>
    <phoneticPr fontId="2" type="noConversion"/>
  </si>
  <si>
    <t>최종</t>
    <phoneticPr fontId="2" type="noConversion"/>
  </si>
  <si>
    <t>순위</t>
    <phoneticPr fontId="2" type="noConversion"/>
  </si>
  <si>
    <t>최종점수</t>
    <phoneticPr fontId="2" type="noConversion"/>
  </si>
  <si>
    <t>현장심사 총평</t>
    <phoneticPr fontId="2" type="noConversion"/>
  </si>
  <si>
    <t>서류,현장 총점</t>
    <phoneticPr fontId="2" type="noConversion"/>
  </si>
  <si>
    <t>결재</t>
    <phoneticPr fontId="2" type="noConversion"/>
  </si>
  <si>
    <t>결정</t>
    <phoneticPr fontId="2" type="noConversion"/>
  </si>
  <si>
    <t>조치</t>
    <phoneticPr fontId="2" type="noConversion"/>
  </si>
  <si>
    <t>지상</t>
    <phoneticPr fontId="2" type="noConversion"/>
  </si>
  <si>
    <t>공간</t>
    <phoneticPr fontId="2" type="noConversion"/>
  </si>
  <si>
    <t>물품</t>
    <phoneticPr fontId="2" type="noConversion"/>
  </si>
  <si>
    <t>휴게시간</t>
    <phoneticPr fontId="2" type="noConversion"/>
  </si>
  <si>
    <t>유해물질</t>
    <phoneticPr fontId="2" type="noConversion"/>
  </si>
  <si>
    <t>2021.</t>
    <phoneticPr fontId="2" type="noConversion"/>
  </si>
  <si>
    <t>안전보건공단,근로보지공단 확인서</t>
    <phoneticPr fontId="2" type="noConversion"/>
  </si>
  <si>
    <t>각 확인서 원본 또는 PC화면</t>
    <phoneticPr fontId="2" type="noConversion"/>
  </si>
  <si>
    <t>산업안전보건법 상 교육 내역(분기별)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</si>
</sst>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.0_-;\-* #,##0.0_-;_-* &quot;-&quot;_-;_-@_-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b/>
      <sz val="20"/>
      <color rgb="FF000000"/>
      <name val="HY헤드라인M"/>
      <family val="1"/>
      <charset val="129"/>
    </font>
    <font>
      <sz val="11"/>
      <color theme="1"/>
      <name val="굴림"/>
      <family val="3"/>
      <charset val="129"/>
    </font>
    <font>
      <b/>
      <sz val="20"/>
      <color rgb="FF000000"/>
      <name val="맑은 고딕"/>
      <family val="1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sz val="14"/>
      <name val="굴림"/>
      <family val="3"/>
      <charset val="129"/>
    </font>
    <font>
      <b/>
      <sz val="16"/>
      <name val="굴림"/>
      <family val="3"/>
      <charset val="129"/>
    </font>
    <font>
      <b/>
      <sz val="24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8"/>
      <name val="굴림"/>
      <family val="3"/>
      <charset val="129"/>
    </font>
    <font>
      <sz val="16"/>
      <name val="맑은 고딕"/>
      <family val="3"/>
      <charset val="129"/>
      <scheme val="minor"/>
    </font>
    <font>
      <b/>
      <sz val="18"/>
      <name val="MS Gothic"/>
      <family val="3"/>
      <charset val="128"/>
    </font>
    <font>
      <sz val="12"/>
      <name val="맑은 고딕"/>
      <family val="2"/>
      <charset val="129"/>
      <scheme val="minor"/>
    </font>
    <font>
      <sz val="18"/>
      <name val="맑은 고딕"/>
      <family val="3"/>
      <charset val="129"/>
      <scheme val="minor"/>
    </font>
    <font>
      <b/>
      <sz val="18"/>
      <name val="맑은 고딕"/>
      <family val="2"/>
      <charset val="129"/>
      <scheme val="minor"/>
    </font>
    <font>
      <b/>
      <sz val="22"/>
      <name val="굴림"/>
      <family val="3"/>
      <charset val="129"/>
    </font>
    <font>
      <b/>
      <sz val="11"/>
      <name val="굴림"/>
      <family val="3"/>
      <charset val="129"/>
    </font>
    <font>
      <sz val="15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name val="굴림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rgb="FF000000"/>
      </top>
      <bottom style="thin">
        <color auto="1"/>
      </bottom>
      <diagonal/>
    </border>
    <border>
      <left style="thin">
        <color auto="1"/>
      </left>
      <right style="thick">
        <color rgb="FF000000"/>
      </right>
      <top style="thick">
        <color rgb="FF000000"/>
      </top>
      <bottom style="thin">
        <color auto="1"/>
      </bottom>
      <diagonal/>
    </border>
    <border>
      <left style="thin">
        <color auto="1"/>
      </left>
      <right style="thick">
        <color rgb="FF000000"/>
      </right>
      <top style="thin">
        <color auto="1"/>
      </top>
      <bottom style="thin">
        <color auto="1"/>
      </bottom>
      <diagonal/>
    </border>
    <border>
      <left/>
      <right style="thick">
        <color rgb="FF000000"/>
      </right>
      <top style="thin">
        <color auto="1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auto="1"/>
      </right>
      <top style="thick">
        <color rgb="FF000000"/>
      </top>
      <bottom style="thin">
        <color auto="1"/>
      </bottom>
      <diagonal/>
    </border>
    <border>
      <left style="thick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41" fontId="0" fillId="0" borderId="7" xfId="0" applyNumberFormat="1" applyBorder="1">
      <alignment vertical="center"/>
    </xf>
    <xf numFmtId="0" fontId="0" fillId="6" borderId="7" xfId="0" applyFill="1" applyBorder="1">
      <alignment vertical="center"/>
    </xf>
    <xf numFmtId="0" fontId="0" fillId="7" borderId="7" xfId="0" applyFill="1" applyBorder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29" xfId="0" applyFont="1" applyBorder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quotePrefix="1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2" fillId="0" borderId="16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8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23" fillId="0" borderId="21" xfId="0" applyFont="1" applyBorder="1">
      <alignment vertical="center"/>
    </xf>
    <xf numFmtId="0" fontId="23" fillId="0" borderId="22" xfId="0" applyFont="1" applyBorder="1">
      <alignment vertical="center"/>
    </xf>
    <xf numFmtId="0" fontId="24" fillId="0" borderId="22" xfId="0" applyFont="1" applyBorder="1">
      <alignment vertical="center"/>
    </xf>
    <xf numFmtId="0" fontId="24" fillId="0" borderId="23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22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23" xfId="0" applyFont="1" applyBorder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quotePrefix="1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/>
    </xf>
    <xf numFmtId="0" fontId="17" fillId="2" borderId="73" xfId="0" quotePrefix="1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81" xfId="0" applyFont="1" applyFill="1" applyBorder="1" applyAlignment="1">
      <alignment vertical="center"/>
    </xf>
    <xf numFmtId="0" fontId="14" fillId="0" borderId="81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0" fillId="3" borderId="7" xfId="0" applyFill="1" applyBorder="1">
      <alignment vertical="center"/>
    </xf>
    <xf numFmtId="0" fontId="28" fillId="3" borderId="7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41" fontId="29" fillId="0" borderId="3" xfId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41" fontId="0" fillId="0" borderId="7" xfId="1" applyFont="1" applyBorder="1">
      <alignment vertical="center"/>
    </xf>
    <xf numFmtId="0" fontId="0" fillId="12" borderId="7" xfId="0" applyFill="1" applyBorder="1">
      <alignment vertical="center"/>
    </xf>
    <xf numFmtId="0" fontId="28" fillId="12" borderId="7" xfId="0" applyFont="1" applyFill="1" applyBorder="1" applyAlignment="1">
      <alignment horizontal="center" vertical="center"/>
    </xf>
    <xf numFmtId="41" fontId="17" fillId="0" borderId="3" xfId="0" applyNumberFormat="1" applyFont="1" applyFill="1" applyBorder="1" applyAlignment="1">
      <alignment horizontal="left" vertical="center" wrapText="1"/>
    </xf>
    <xf numFmtId="41" fontId="17" fillId="0" borderId="3" xfId="0" applyNumberFormat="1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41" fontId="17" fillId="0" borderId="68" xfId="0" applyNumberFormat="1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62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76" xfId="0" applyFont="1" applyFill="1" applyBorder="1" applyAlignment="1">
      <alignment horizontal="left" vertical="center"/>
    </xf>
    <xf numFmtId="0" fontId="17" fillId="2" borderId="77" xfId="0" applyFont="1" applyFill="1" applyBorder="1" applyAlignment="1">
      <alignment horizontal="left" vertical="center"/>
    </xf>
    <xf numFmtId="0" fontId="17" fillId="2" borderId="78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9" fillId="0" borderId="3" xfId="0" quotePrefix="1" applyFont="1" applyFill="1" applyBorder="1" applyAlignment="1">
      <alignment vertical="center" wrapText="1"/>
    </xf>
    <xf numFmtId="0" fontId="29" fillId="0" borderId="13" xfId="0" quotePrefix="1" applyFont="1" applyFill="1" applyBorder="1" applyAlignment="1">
      <alignment vertical="center" wrapText="1"/>
    </xf>
    <xf numFmtId="0" fontId="29" fillId="2" borderId="3" xfId="0" quotePrefix="1" applyFont="1" applyFill="1" applyBorder="1" applyAlignment="1">
      <alignment vertical="center" wrapText="1"/>
    </xf>
    <xf numFmtId="0" fontId="29" fillId="2" borderId="13" xfId="0" quotePrefix="1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29" fillId="0" borderId="56" xfId="0" quotePrefix="1" applyFont="1" applyFill="1" applyBorder="1" applyAlignment="1">
      <alignment vertical="center" wrapText="1"/>
    </xf>
    <xf numFmtId="0" fontId="29" fillId="0" borderId="20" xfId="0" quotePrefix="1" applyFont="1" applyFill="1" applyBorder="1" applyAlignment="1">
      <alignment vertical="center" wrapText="1"/>
    </xf>
    <xf numFmtId="0" fontId="29" fillId="0" borderId="58" xfId="0" quotePrefix="1" applyFont="1" applyFill="1" applyBorder="1" applyAlignment="1">
      <alignment vertical="center" wrapText="1"/>
    </xf>
    <xf numFmtId="0" fontId="29" fillId="0" borderId="17" xfId="0" quotePrefix="1" applyFont="1" applyFill="1" applyBorder="1" applyAlignment="1">
      <alignment vertical="center" wrapText="1"/>
    </xf>
    <xf numFmtId="41" fontId="17" fillId="0" borderId="3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2" borderId="70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8" borderId="74" xfId="0" applyFont="1" applyFill="1" applyBorder="1" applyAlignment="1">
      <alignment horizontal="center" vertical="center"/>
    </xf>
    <xf numFmtId="0" fontId="17" fillId="8" borderId="75" xfId="0" applyFont="1" applyFill="1" applyBorder="1" applyAlignment="1">
      <alignment horizontal="center" vertical="center"/>
    </xf>
    <xf numFmtId="0" fontId="17" fillId="0" borderId="32" xfId="0" quotePrefix="1" applyFont="1" applyBorder="1" applyAlignment="1">
      <alignment horizontal="left" vertical="center" wrapText="1"/>
    </xf>
    <xf numFmtId="0" fontId="17" fillId="0" borderId="32" xfId="0" quotePrefix="1" applyFont="1" applyBorder="1" applyAlignment="1">
      <alignment horizontal="left" vertical="center"/>
    </xf>
    <xf numFmtId="0" fontId="17" fillId="0" borderId="33" xfId="0" quotePrefix="1" applyFont="1" applyBorder="1" applyAlignment="1">
      <alignment horizontal="left" vertical="center"/>
    </xf>
    <xf numFmtId="41" fontId="11" fillId="0" borderId="32" xfId="1" quotePrefix="1" applyFont="1" applyBorder="1" applyAlignment="1">
      <alignment horizontal="righ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1" fillId="0" borderId="3" xfId="0" quotePrefix="1" applyFont="1" applyBorder="1" applyAlignment="1">
      <alignment horizontal="center" vertical="center" wrapText="1"/>
    </xf>
    <xf numFmtId="0" fontId="11" fillId="0" borderId="13" xfId="0" quotePrefix="1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41" fontId="11" fillId="0" borderId="3" xfId="1" quotePrefix="1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41" fontId="11" fillId="0" borderId="3" xfId="1" quotePrefix="1" applyFont="1" applyFill="1" applyBorder="1" applyAlignment="1">
      <alignment horizontal="center" vertical="center" wrapText="1"/>
    </xf>
    <xf numFmtId="41" fontId="11" fillId="0" borderId="13" xfId="1" quotePrefix="1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76" fontId="11" fillId="2" borderId="3" xfId="1" applyNumberFormat="1" applyFont="1" applyFill="1" applyBorder="1" applyAlignment="1">
      <alignment horizontal="center" vertical="center" wrapText="1"/>
    </xf>
    <xf numFmtId="176" fontId="11" fillId="2" borderId="13" xfId="1" applyNumberFormat="1" applyFont="1" applyFill="1" applyBorder="1" applyAlignment="1">
      <alignment horizontal="center" vertical="center" wrapText="1"/>
    </xf>
    <xf numFmtId="0" fontId="11" fillId="2" borderId="3" xfId="0" quotePrefix="1" applyFont="1" applyFill="1" applyBorder="1" applyAlignment="1">
      <alignment horizontal="center" vertical="center" wrapText="1"/>
    </xf>
    <xf numFmtId="41" fontId="15" fillId="6" borderId="38" xfId="0" applyNumberFormat="1" applyFont="1" applyFill="1" applyBorder="1" applyAlignment="1">
      <alignment horizontal="center" vertical="center"/>
    </xf>
    <xf numFmtId="41" fontId="15" fillId="6" borderId="3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3" xfId="1" applyNumberFormat="1" applyFont="1" applyFill="1" applyBorder="1" applyAlignment="1">
      <alignment horizontal="center" vertical="center" wrapText="1"/>
    </xf>
    <xf numFmtId="176" fontId="11" fillId="0" borderId="13" xfId="1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7" fillId="0" borderId="3" xfId="0" quotePrefix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4" fillId="3" borderId="6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7" fillId="0" borderId="24" xfId="0" quotePrefix="1" applyFont="1" applyBorder="1" applyAlignment="1">
      <alignment horizontal="left" vertical="center" wrapText="1"/>
    </xf>
    <xf numFmtId="0" fontId="17" fillId="0" borderId="5" xfId="0" quotePrefix="1" applyFont="1" applyBorder="1" applyAlignment="1">
      <alignment horizontal="left" vertical="center" wrapText="1"/>
    </xf>
    <xf numFmtId="0" fontId="17" fillId="0" borderId="14" xfId="0" quotePrefix="1" applyFont="1" applyBorder="1" applyAlignment="1">
      <alignment horizontal="left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31" xfId="0" quotePrefix="1" applyFont="1" applyBorder="1" applyAlignment="1">
      <alignment vertical="center"/>
    </xf>
    <xf numFmtId="0" fontId="17" fillId="0" borderId="32" xfId="0" quotePrefix="1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3" xfId="0" quotePrefix="1" applyFont="1" applyBorder="1" applyAlignment="1">
      <alignment horizontal="left" vertical="center"/>
    </xf>
    <xf numFmtId="0" fontId="17" fillId="0" borderId="13" xfId="0" quotePrefix="1" applyFont="1" applyBorder="1" applyAlignment="1">
      <alignment horizontal="left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0" borderId="24" xfId="0" quotePrefix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41" fontId="21" fillId="2" borderId="39" xfId="0" applyNumberFormat="1" applyFont="1" applyFill="1" applyBorder="1" applyAlignment="1">
      <alignment horizontal="center" vertical="center"/>
    </xf>
    <xf numFmtId="41" fontId="21" fillId="2" borderId="38" xfId="0" applyNumberFormat="1" applyFont="1" applyFill="1" applyBorder="1" applyAlignment="1">
      <alignment horizontal="center" vertical="center"/>
    </xf>
    <xf numFmtId="41" fontId="21" fillId="2" borderId="40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7" fillId="0" borderId="3" xfId="0" quotePrefix="1" applyFont="1" applyBorder="1" applyAlignment="1">
      <alignment horizontal="center" vertical="center"/>
    </xf>
    <xf numFmtId="0" fontId="17" fillId="0" borderId="13" xfId="0" quotePrefix="1" applyFont="1" applyBorder="1" applyAlignment="1">
      <alignment horizontal="center" vertical="center"/>
    </xf>
    <xf numFmtId="0" fontId="17" fillId="0" borderId="32" xfId="0" quotePrefix="1" applyFont="1" applyBorder="1" applyAlignment="1">
      <alignment horizontal="center" vertical="center"/>
    </xf>
    <xf numFmtId="0" fontId="17" fillId="0" borderId="33" xfId="0" quotePrefix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7" fillId="2" borderId="9" xfId="0" quotePrefix="1" applyFont="1" applyFill="1" applyBorder="1" applyAlignment="1">
      <alignment horizontal="center" vertical="center"/>
    </xf>
    <xf numFmtId="0" fontId="17" fillId="2" borderId="10" xfId="0" quotePrefix="1" applyFont="1" applyFill="1" applyBorder="1" applyAlignment="1">
      <alignment horizontal="center" vertical="center"/>
    </xf>
    <xf numFmtId="0" fontId="17" fillId="2" borderId="11" xfId="0" quotePrefix="1" applyFont="1" applyFill="1" applyBorder="1" applyAlignment="1">
      <alignment horizontal="center" vertical="center"/>
    </xf>
    <xf numFmtId="0" fontId="17" fillId="0" borderId="12" xfId="0" quotePrefix="1" applyFont="1" applyBorder="1" applyAlignment="1">
      <alignment vertical="center"/>
    </xf>
    <xf numFmtId="0" fontId="17" fillId="0" borderId="3" xfId="0" quotePrefix="1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87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82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4" fillId="2" borderId="81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/>
    </xf>
    <xf numFmtId="14" fontId="15" fillId="8" borderId="3" xfId="0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0" borderId="3" xfId="0" quotePrefix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82" xfId="0" applyFont="1" applyFill="1" applyBorder="1" applyAlignment="1">
      <alignment horizontal="left" vertical="center"/>
    </xf>
    <xf numFmtId="0" fontId="14" fillId="8" borderId="82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27" fillId="2" borderId="7" xfId="0" applyFont="1" applyFill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5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9" borderId="45" xfId="0" applyFont="1" applyFill="1" applyBorder="1" applyAlignment="1">
      <alignment horizontal="center" vertical="center"/>
    </xf>
    <xf numFmtId="0" fontId="25" fillId="9" borderId="46" xfId="0" applyFont="1" applyFill="1" applyBorder="1" applyAlignment="1">
      <alignment horizontal="center" vertical="center"/>
    </xf>
    <xf numFmtId="0" fontId="25" fillId="9" borderId="53" xfId="0" applyFont="1" applyFill="1" applyBorder="1" applyAlignment="1">
      <alignment horizontal="center" vertical="center"/>
    </xf>
    <xf numFmtId="0" fontId="25" fillId="9" borderId="54" xfId="0" applyFont="1" applyFill="1" applyBorder="1" applyAlignment="1">
      <alignment horizontal="center" vertical="center"/>
    </xf>
    <xf numFmtId="0" fontId="25" fillId="9" borderId="47" xfId="0" applyFont="1" applyFill="1" applyBorder="1" applyAlignment="1">
      <alignment horizontal="center" vertical="center"/>
    </xf>
    <xf numFmtId="0" fontId="25" fillId="9" borderId="48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4" fontId="26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52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26" fillId="5" borderId="51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5" borderId="50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0" fontId="25" fillId="9" borderId="50" xfId="0" applyFont="1" applyFill="1" applyBorder="1" applyAlignment="1">
      <alignment horizontal="center" vertical="center"/>
    </xf>
    <xf numFmtId="0" fontId="25" fillId="9" borderId="7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2" borderId="49" xfId="0" applyFont="1" applyFill="1" applyBorder="1" applyAlignment="1">
      <alignment horizontal="left" vertical="center"/>
    </xf>
    <xf numFmtId="0" fontId="25" fillId="2" borderId="55" xfId="0" applyFont="1" applyFill="1" applyBorder="1" applyAlignment="1">
      <alignment horizontal="left" vertical="center"/>
    </xf>
    <xf numFmtId="0" fontId="25" fillId="2" borderId="50" xfId="0" applyFont="1" applyFill="1" applyBorder="1" applyAlignment="1">
      <alignment horizontal="left" vertical="center"/>
    </xf>
    <xf numFmtId="14" fontId="0" fillId="0" borderId="7" xfId="0" applyNumberForma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50"/>
  <sheetViews>
    <sheetView tabSelected="1" view="pageBreakPreview" zoomScale="55" zoomScaleNormal="100" zoomScaleSheetLayoutView="55" workbookViewId="0">
      <selection activeCell="F9" sqref="F9:N9"/>
    </sheetView>
  </sheetViews>
  <sheetFormatPr defaultRowHeight="16.5" x14ac:dyDescent="0.3"/>
  <cols>
    <col min="1" max="1" width="7.25" customWidth="1"/>
    <col min="2" max="2" width="13" customWidth="1"/>
    <col min="3" max="3" width="9.75" customWidth="1"/>
    <col min="4" max="4" width="8.375" customWidth="1"/>
    <col min="5" max="14" width="9.75" customWidth="1"/>
    <col min="15" max="17" width="7.875" customWidth="1"/>
    <col min="18" max="36" width="5.75" customWidth="1"/>
    <col min="37" max="37" width="6.5" style="43" customWidth="1"/>
    <col min="38" max="38" width="14.625" customWidth="1"/>
    <col min="39" max="40" width="19.25" customWidth="1"/>
    <col min="41" max="41" width="10.875" customWidth="1"/>
    <col min="42" max="42" width="14.375" customWidth="1"/>
    <col min="43" max="43" width="13.875" customWidth="1"/>
    <col min="44" max="44" width="10" customWidth="1"/>
    <col min="45" max="45" width="14.375" customWidth="1"/>
    <col min="46" max="46" width="10" customWidth="1"/>
    <col min="47" max="47" width="8.375" customWidth="1"/>
    <col min="48" max="48" width="23.125" customWidth="1"/>
    <col min="49" max="49" width="18.75" customWidth="1"/>
    <col min="50" max="50" width="35.375" customWidth="1"/>
    <col min="51" max="51" width="27.125" customWidth="1"/>
    <col min="52" max="52" width="31.75" customWidth="1"/>
  </cols>
  <sheetData>
    <row r="1" spans="1:52" ht="17.25" thickBot="1" x14ac:dyDescent="0.35">
      <c r="A1" t="s">
        <v>12</v>
      </c>
      <c r="O1" t="s">
        <v>13</v>
      </c>
      <c r="AK1" s="43" t="s">
        <v>14</v>
      </c>
      <c r="AV1" t="s">
        <v>23</v>
      </c>
    </row>
    <row r="2" spans="1:52" ht="42.75" customHeight="1" thickTop="1" thickBot="1" x14ac:dyDescent="0.35">
      <c r="A2" s="182" t="s">
        <v>47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5"/>
      <c r="O2" s="182" t="s">
        <v>66</v>
      </c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4"/>
      <c r="AI2" s="184"/>
      <c r="AJ2" s="185"/>
      <c r="AK2" s="179" t="s">
        <v>189</v>
      </c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89" t="s">
        <v>76</v>
      </c>
      <c r="AW2" s="190"/>
      <c r="AX2" s="190"/>
      <c r="AY2" s="190"/>
      <c r="AZ2" s="191"/>
    </row>
    <row r="3" spans="1:52" ht="46.5" customHeight="1" thickBot="1" x14ac:dyDescent="0.35">
      <c r="A3" s="154" t="s">
        <v>8</v>
      </c>
      <c r="B3" s="36" t="s">
        <v>29</v>
      </c>
      <c r="C3" s="158"/>
      <c r="D3" s="158"/>
      <c r="E3" s="158"/>
      <c r="F3" s="158"/>
      <c r="G3" s="158"/>
      <c r="H3" s="194" t="s">
        <v>48</v>
      </c>
      <c r="I3" s="194"/>
      <c r="J3" s="194"/>
      <c r="K3" s="121" t="s">
        <v>77</v>
      </c>
      <c r="L3" s="121"/>
      <c r="M3" s="121"/>
      <c r="N3" s="122"/>
      <c r="O3" s="10" t="s">
        <v>35</v>
      </c>
      <c r="P3" s="141">
        <f>C3</f>
        <v>0</v>
      </c>
      <c r="Q3" s="142"/>
      <c r="R3" s="142"/>
      <c r="S3" s="142"/>
      <c r="T3" s="142"/>
      <c r="U3" s="142"/>
      <c r="V3" s="142"/>
      <c r="W3" s="201"/>
      <c r="X3" s="198" t="s">
        <v>67</v>
      </c>
      <c r="Y3" s="199"/>
      <c r="Z3" s="199"/>
      <c r="AA3" s="199"/>
      <c r="AB3" s="199"/>
      <c r="AC3" s="199"/>
      <c r="AD3" s="199"/>
      <c r="AE3" s="199"/>
      <c r="AF3" s="200"/>
      <c r="AG3" s="203" t="s">
        <v>51</v>
      </c>
      <c r="AH3" s="141"/>
      <c r="AI3" s="141"/>
      <c r="AJ3" s="204"/>
      <c r="AK3" s="202" t="s">
        <v>16</v>
      </c>
      <c r="AL3" s="109"/>
      <c r="AM3" s="110">
        <f>P3</f>
        <v>0</v>
      </c>
      <c r="AN3" s="110"/>
      <c r="AO3" s="110"/>
      <c r="AP3" s="110"/>
      <c r="AQ3" s="109" t="s">
        <v>191</v>
      </c>
      <c r="AR3" s="109"/>
      <c r="AS3" s="110"/>
      <c r="AT3" s="110"/>
      <c r="AU3" s="111"/>
      <c r="AV3" s="11" t="s">
        <v>15</v>
      </c>
      <c r="AW3" s="12" t="s">
        <v>16</v>
      </c>
      <c r="AX3" s="13">
        <f>AM3</f>
        <v>0</v>
      </c>
      <c r="AY3" s="12" t="s">
        <v>18</v>
      </c>
      <c r="AZ3" s="14">
        <f>K4</f>
        <v>0</v>
      </c>
    </row>
    <row r="4" spans="1:52" ht="46.5" customHeight="1" thickBot="1" x14ac:dyDescent="0.35">
      <c r="A4" s="154"/>
      <c r="B4" s="36" t="s">
        <v>1</v>
      </c>
      <c r="C4" s="158"/>
      <c r="D4" s="158"/>
      <c r="E4" s="158"/>
      <c r="F4" s="158"/>
      <c r="G4" s="158"/>
      <c r="H4" s="133" t="s">
        <v>0</v>
      </c>
      <c r="I4" s="133"/>
      <c r="J4" s="133"/>
      <c r="K4" s="158"/>
      <c r="L4" s="158"/>
      <c r="M4" s="158"/>
      <c r="N4" s="169"/>
      <c r="O4" s="136" t="s">
        <v>68</v>
      </c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8"/>
      <c r="AK4" s="47"/>
      <c r="AL4" s="48" t="s">
        <v>197</v>
      </c>
      <c r="AM4" s="112" t="s">
        <v>198</v>
      </c>
      <c r="AN4" s="112"/>
      <c r="AO4" s="112"/>
      <c r="AP4" s="112"/>
      <c r="AQ4" s="48" t="s">
        <v>200</v>
      </c>
      <c r="AR4" s="112" t="s">
        <v>227</v>
      </c>
      <c r="AS4" s="112"/>
      <c r="AT4" s="112"/>
      <c r="AU4" s="113"/>
      <c r="AV4" s="192" t="s">
        <v>21</v>
      </c>
      <c r="AW4" s="12" t="s">
        <v>17</v>
      </c>
      <c r="AX4" s="13">
        <f>C6</f>
        <v>0</v>
      </c>
      <c r="AY4" s="12" t="s">
        <v>37</v>
      </c>
      <c r="AZ4" s="13"/>
    </row>
    <row r="5" spans="1:52" ht="46.5" customHeight="1" x14ac:dyDescent="0.3">
      <c r="A5" s="154"/>
      <c r="B5" s="36" t="s">
        <v>2</v>
      </c>
      <c r="C5" s="121" t="s">
        <v>106</v>
      </c>
      <c r="D5" s="158"/>
      <c r="E5" s="158"/>
      <c r="F5" s="158"/>
      <c r="G5" s="158"/>
      <c r="H5" s="133" t="s">
        <v>50</v>
      </c>
      <c r="I5" s="133"/>
      <c r="J5" s="133"/>
      <c r="K5" s="121" t="s">
        <v>46</v>
      </c>
      <c r="L5" s="121"/>
      <c r="M5" s="121"/>
      <c r="N5" s="122"/>
      <c r="O5" s="186" t="s">
        <v>36</v>
      </c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8"/>
      <c r="AK5" s="205" t="s">
        <v>192</v>
      </c>
      <c r="AL5" s="101"/>
      <c r="AM5" s="101"/>
      <c r="AN5" s="101"/>
      <c r="AO5" s="101"/>
      <c r="AP5" s="46" t="s">
        <v>193</v>
      </c>
      <c r="AQ5" s="101" t="s">
        <v>199</v>
      </c>
      <c r="AR5" s="101"/>
      <c r="AS5" s="101"/>
      <c r="AT5" s="101" t="s">
        <v>200</v>
      </c>
      <c r="AU5" s="102"/>
      <c r="AV5" s="192"/>
      <c r="AW5" s="12" t="s">
        <v>10</v>
      </c>
      <c r="AX5" s="13"/>
      <c r="AY5" s="12" t="s">
        <v>38</v>
      </c>
      <c r="AZ5" s="13"/>
    </row>
    <row r="6" spans="1:52" ht="46.5" customHeight="1" x14ac:dyDescent="0.3">
      <c r="A6" s="154"/>
      <c r="B6" s="8" t="s">
        <v>3</v>
      </c>
      <c r="C6" s="158"/>
      <c r="D6" s="158"/>
      <c r="E6" s="158"/>
      <c r="F6" s="158"/>
      <c r="G6" s="158"/>
      <c r="H6" s="133" t="s">
        <v>30</v>
      </c>
      <c r="I6" s="133"/>
      <c r="J6" s="133"/>
      <c r="K6" s="121"/>
      <c r="L6" s="121"/>
      <c r="M6" s="121"/>
      <c r="N6" s="122"/>
      <c r="O6" s="186" t="s">
        <v>36</v>
      </c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8"/>
      <c r="AK6" s="44">
        <v>1</v>
      </c>
      <c r="AL6" s="108" t="s">
        <v>228</v>
      </c>
      <c r="AM6" s="108"/>
      <c r="AN6" s="108"/>
      <c r="AO6" s="108"/>
      <c r="AP6" s="64"/>
      <c r="AQ6" s="79" t="s">
        <v>201</v>
      </c>
      <c r="AR6" s="79"/>
      <c r="AS6" s="79"/>
      <c r="AT6" s="96"/>
      <c r="AU6" s="97"/>
      <c r="AV6" s="193" t="s">
        <v>22</v>
      </c>
      <c r="AW6" s="12" t="s">
        <v>75</v>
      </c>
      <c r="AX6" s="13" t="str">
        <f>C22</f>
        <v>(직위 :     )</v>
      </c>
      <c r="AY6" s="12" t="s">
        <v>19</v>
      </c>
      <c r="AZ6" s="14">
        <f>K22</f>
        <v>0</v>
      </c>
    </row>
    <row r="7" spans="1:52" ht="37.5" customHeight="1" x14ac:dyDescent="0.3">
      <c r="A7" s="154"/>
      <c r="B7" s="133" t="s">
        <v>34</v>
      </c>
      <c r="C7" s="8" t="s">
        <v>31</v>
      </c>
      <c r="D7" s="121"/>
      <c r="E7" s="121"/>
      <c r="F7" s="8" t="s">
        <v>32</v>
      </c>
      <c r="G7" s="158" t="s">
        <v>33</v>
      </c>
      <c r="H7" s="158"/>
      <c r="I7" s="133" t="s">
        <v>138</v>
      </c>
      <c r="J7" s="133"/>
      <c r="K7" s="133"/>
      <c r="L7" s="121"/>
      <c r="M7" s="158"/>
      <c r="N7" s="169"/>
      <c r="O7" s="136" t="s">
        <v>69</v>
      </c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8"/>
      <c r="AK7" s="44">
        <v>2</v>
      </c>
      <c r="AL7" s="107" t="s">
        <v>194</v>
      </c>
      <c r="AM7" s="107"/>
      <c r="AN7" s="107"/>
      <c r="AO7" s="107"/>
      <c r="AP7" s="67"/>
      <c r="AQ7" s="79" t="s">
        <v>202</v>
      </c>
      <c r="AR7" s="79"/>
      <c r="AS7" s="79"/>
      <c r="AT7" s="96"/>
      <c r="AU7" s="97"/>
      <c r="AV7" s="193"/>
      <c r="AW7" s="12" t="s">
        <v>10</v>
      </c>
      <c r="AX7" s="13">
        <f>C23</f>
        <v>0</v>
      </c>
      <c r="AY7" s="12" t="s">
        <v>20</v>
      </c>
      <c r="AZ7" s="14">
        <f>K23</f>
        <v>0</v>
      </c>
    </row>
    <row r="8" spans="1:52" ht="37.5" customHeight="1" x14ac:dyDescent="0.3">
      <c r="A8" s="154"/>
      <c r="B8" s="133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95"/>
      <c r="O8" s="139" t="s">
        <v>70</v>
      </c>
      <c r="P8" s="140"/>
      <c r="Q8" s="141" t="s">
        <v>71</v>
      </c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3"/>
      <c r="AK8" s="76">
        <v>3</v>
      </c>
      <c r="AL8" s="107" t="s">
        <v>195</v>
      </c>
      <c r="AM8" s="107"/>
      <c r="AN8" s="107"/>
      <c r="AO8" s="107"/>
      <c r="AP8" s="82"/>
      <c r="AQ8" s="78" t="s">
        <v>203</v>
      </c>
      <c r="AR8" s="78"/>
      <c r="AS8" s="78"/>
      <c r="AT8" s="103"/>
      <c r="AU8" s="104"/>
      <c r="AV8" s="217"/>
      <c r="AW8" s="218"/>
      <c r="AX8" s="218"/>
      <c r="AY8" s="218"/>
      <c r="AZ8" s="219"/>
    </row>
    <row r="9" spans="1:52" ht="42" customHeight="1" x14ac:dyDescent="0.3">
      <c r="A9" s="154"/>
      <c r="B9" s="133" t="s">
        <v>52</v>
      </c>
      <c r="C9" s="133"/>
      <c r="D9" s="133"/>
      <c r="E9" s="133"/>
      <c r="F9" s="134"/>
      <c r="G9" s="134"/>
      <c r="H9" s="134"/>
      <c r="I9" s="134"/>
      <c r="J9" s="134"/>
      <c r="K9" s="134"/>
      <c r="L9" s="134"/>
      <c r="M9" s="134"/>
      <c r="N9" s="135"/>
      <c r="O9" s="151" t="s">
        <v>72</v>
      </c>
      <c r="P9" s="152"/>
      <c r="Q9" s="141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3"/>
      <c r="AK9" s="76"/>
      <c r="AL9" s="107"/>
      <c r="AM9" s="107"/>
      <c r="AN9" s="107"/>
      <c r="AO9" s="107"/>
      <c r="AP9" s="82"/>
      <c r="AQ9" s="78"/>
      <c r="AR9" s="78"/>
      <c r="AS9" s="78"/>
      <c r="AT9" s="105"/>
      <c r="AU9" s="106"/>
      <c r="AV9" s="176" t="s">
        <v>27</v>
      </c>
      <c r="AW9" s="177"/>
      <c r="AX9" s="177"/>
      <c r="AY9" s="177"/>
      <c r="AZ9" s="178"/>
    </row>
    <row r="10" spans="1:52" ht="36" customHeight="1" x14ac:dyDescent="0.3">
      <c r="A10" s="154" t="s">
        <v>56</v>
      </c>
      <c r="B10" s="133"/>
      <c r="C10" s="133"/>
      <c r="D10" s="133"/>
      <c r="E10" s="133"/>
      <c r="F10" s="133" t="s">
        <v>53</v>
      </c>
      <c r="G10" s="133"/>
      <c r="H10" s="133"/>
      <c r="I10" s="133" t="s">
        <v>54</v>
      </c>
      <c r="J10" s="133"/>
      <c r="K10" s="133"/>
      <c r="L10" s="133" t="s">
        <v>55</v>
      </c>
      <c r="M10" s="133"/>
      <c r="N10" s="15" t="s">
        <v>86</v>
      </c>
      <c r="O10" s="153"/>
      <c r="P10" s="149"/>
      <c r="Q10" s="144" t="s">
        <v>73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6"/>
      <c r="AK10" s="76">
        <v>4</v>
      </c>
      <c r="AL10" s="107" t="s">
        <v>196</v>
      </c>
      <c r="AM10" s="107"/>
      <c r="AN10" s="107"/>
      <c r="AO10" s="107"/>
      <c r="AP10" s="82"/>
      <c r="AQ10" s="79" t="s">
        <v>204</v>
      </c>
      <c r="AR10" s="79"/>
      <c r="AS10" s="79"/>
      <c r="AT10" s="96"/>
      <c r="AU10" s="97"/>
      <c r="AV10" s="206" t="s">
        <v>139</v>
      </c>
      <c r="AW10" s="207"/>
      <c r="AX10" s="207"/>
      <c r="AY10" s="207"/>
      <c r="AZ10" s="208"/>
    </row>
    <row r="11" spans="1:52" ht="36" customHeight="1" x14ac:dyDescent="0.3">
      <c r="A11" s="154"/>
      <c r="B11" s="133"/>
      <c r="C11" s="133"/>
      <c r="D11" s="133"/>
      <c r="E11" s="133"/>
      <c r="F11" s="158"/>
      <c r="G11" s="158"/>
      <c r="H11" s="158"/>
      <c r="I11" s="158"/>
      <c r="J11" s="158"/>
      <c r="K11" s="158"/>
      <c r="L11" s="133">
        <f>F11+I11</f>
        <v>0</v>
      </c>
      <c r="M11" s="133"/>
      <c r="N11" s="15" t="str">
        <f>IF(L11&lt;50,"O","X")</f>
        <v>O</v>
      </c>
      <c r="O11" s="147" t="s">
        <v>44</v>
      </c>
      <c r="P11" s="148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0"/>
      <c r="AK11" s="76"/>
      <c r="AL11" s="107"/>
      <c r="AM11" s="107"/>
      <c r="AN11" s="107"/>
      <c r="AO11" s="107"/>
      <c r="AP11" s="82"/>
      <c r="AQ11" s="79" t="s">
        <v>205</v>
      </c>
      <c r="AR11" s="79"/>
      <c r="AS11" s="79"/>
      <c r="AT11" s="96"/>
      <c r="AU11" s="97"/>
      <c r="AV11" s="209"/>
      <c r="AW11" s="210"/>
      <c r="AX11" s="210"/>
      <c r="AY11" s="210"/>
      <c r="AZ11" s="211"/>
    </row>
    <row r="12" spans="1:52" ht="43.5" customHeight="1" x14ac:dyDescent="0.3">
      <c r="A12" s="154"/>
      <c r="B12" s="133"/>
      <c r="C12" s="133"/>
      <c r="D12" s="133"/>
      <c r="E12" s="133"/>
      <c r="F12" s="162" t="s">
        <v>57</v>
      </c>
      <c r="G12" s="162"/>
      <c r="H12" s="162" t="s">
        <v>58</v>
      </c>
      <c r="I12" s="162"/>
      <c r="J12" s="162" t="s">
        <v>59</v>
      </c>
      <c r="K12" s="162"/>
      <c r="L12" s="162" t="s">
        <v>60</v>
      </c>
      <c r="M12" s="162"/>
      <c r="N12" s="16" t="s">
        <v>87</v>
      </c>
      <c r="O12" s="186" t="s">
        <v>36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8"/>
      <c r="AK12" s="80" t="s">
        <v>234</v>
      </c>
      <c r="AL12" s="81"/>
      <c r="AM12" s="81"/>
      <c r="AN12" s="81"/>
      <c r="AO12" s="81"/>
      <c r="AP12" s="81" t="s">
        <v>208</v>
      </c>
      <c r="AQ12" s="81"/>
      <c r="AR12" s="81"/>
      <c r="AS12" s="81"/>
      <c r="AT12" s="81"/>
      <c r="AU12" s="100"/>
      <c r="AV12" s="209"/>
      <c r="AW12" s="210"/>
      <c r="AX12" s="210"/>
      <c r="AY12" s="210"/>
      <c r="AZ12" s="211"/>
    </row>
    <row r="13" spans="1:52" ht="39.75" customHeight="1" x14ac:dyDescent="0.3">
      <c r="A13" s="154"/>
      <c r="B13" s="133"/>
      <c r="C13" s="133"/>
      <c r="D13" s="133"/>
      <c r="E13" s="133"/>
      <c r="F13" s="158"/>
      <c r="G13" s="158"/>
      <c r="H13" s="158"/>
      <c r="I13" s="158"/>
      <c r="J13" s="158"/>
      <c r="K13" s="158"/>
      <c r="L13" s="158"/>
      <c r="M13" s="158"/>
      <c r="N13" s="16" t="str">
        <f>IF(L11=SUM(F13:M13),"O","X")</f>
        <v>O</v>
      </c>
      <c r="O13" s="186" t="s">
        <v>36</v>
      </c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8"/>
      <c r="AK13" s="76">
        <v>5</v>
      </c>
      <c r="AL13" s="74" t="s">
        <v>229</v>
      </c>
      <c r="AM13" s="74"/>
      <c r="AN13" s="74"/>
      <c r="AO13" s="74"/>
      <c r="AP13" s="82"/>
      <c r="AQ13" s="79" t="s">
        <v>207</v>
      </c>
      <c r="AR13" s="79"/>
      <c r="AS13" s="79"/>
      <c r="AT13" s="96"/>
      <c r="AU13" s="97"/>
      <c r="AV13" s="209"/>
      <c r="AW13" s="210"/>
      <c r="AX13" s="210"/>
      <c r="AY13" s="210"/>
      <c r="AZ13" s="211"/>
    </row>
    <row r="14" spans="1:52" ht="39" customHeight="1" x14ac:dyDescent="0.3">
      <c r="A14" s="154" t="s">
        <v>61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59"/>
      <c r="O14" s="186" t="s">
        <v>36</v>
      </c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8"/>
      <c r="AK14" s="76"/>
      <c r="AL14" s="74"/>
      <c r="AM14" s="74"/>
      <c r="AN14" s="74"/>
      <c r="AO14" s="74"/>
      <c r="AP14" s="82"/>
      <c r="AQ14" s="79" t="s">
        <v>206</v>
      </c>
      <c r="AR14" s="79"/>
      <c r="AS14" s="79"/>
      <c r="AT14" s="96"/>
      <c r="AU14" s="97"/>
      <c r="AV14" s="209"/>
      <c r="AW14" s="210"/>
      <c r="AX14" s="210"/>
      <c r="AY14" s="210"/>
      <c r="AZ14" s="211"/>
    </row>
    <row r="15" spans="1:52" ht="38.25" customHeight="1" x14ac:dyDescent="0.3">
      <c r="A15" s="154" t="s">
        <v>62</v>
      </c>
      <c r="B15" s="133"/>
      <c r="C15" s="133"/>
      <c r="D15" s="133"/>
      <c r="E15" s="133"/>
      <c r="F15" s="133" t="s">
        <v>63</v>
      </c>
      <c r="G15" s="133"/>
      <c r="H15" s="133"/>
      <c r="I15" s="133"/>
      <c r="J15" s="160" t="s">
        <v>64</v>
      </c>
      <c r="K15" s="160"/>
      <c r="L15" s="160"/>
      <c r="M15" s="160"/>
      <c r="N15" s="161"/>
      <c r="O15" s="136" t="s">
        <v>74</v>
      </c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8"/>
      <c r="AK15" s="42">
        <v>6</v>
      </c>
      <c r="AL15" s="75" t="s">
        <v>209</v>
      </c>
      <c r="AM15" s="75"/>
      <c r="AN15" s="75"/>
      <c r="AO15" s="75"/>
      <c r="AP15" s="64"/>
      <c r="AQ15" s="79" t="s">
        <v>210</v>
      </c>
      <c r="AR15" s="79"/>
      <c r="AS15" s="79"/>
      <c r="AT15" s="96"/>
      <c r="AU15" s="97"/>
      <c r="AV15" s="209"/>
      <c r="AW15" s="210"/>
      <c r="AX15" s="210"/>
      <c r="AY15" s="210"/>
      <c r="AZ15" s="211"/>
    </row>
    <row r="16" spans="1:52" ht="38.25" customHeight="1" x14ac:dyDescent="0.3">
      <c r="A16" s="165"/>
      <c r="B16" s="166"/>
      <c r="C16" s="166"/>
      <c r="D16" s="166"/>
      <c r="E16" s="166"/>
      <c r="F16" s="166"/>
      <c r="G16" s="166"/>
      <c r="H16" s="166"/>
      <c r="I16" s="166"/>
      <c r="J16" s="167"/>
      <c r="K16" s="167"/>
      <c r="L16" s="167"/>
      <c r="M16" s="167"/>
      <c r="N16" s="168"/>
      <c r="O16" s="220" t="s">
        <v>36</v>
      </c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2"/>
      <c r="AK16" s="42">
        <v>7</v>
      </c>
      <c r="AL16" s="75" t="s">
        <v>211</v>
      </c>
      <c r="AM16" s="75"/>
      <c r="AN16" s="75"/>
      <c r="AO16" s="75"/>
      <c r="AP16" s="65"/>
      <c r="AQ16" s="79" t="s">
        <v>212</v>
      </c>
      <c r="AR16" s="79"/>
      <c r="AS16" s="79"/>
      <c r="AT16" s="96"/>
      <c r="AU16" s="97"/>
      <c r="AV16" s="209"/>
      <c r="AW16" s="210"/>
      <c r="AX16" s="210"/>
      <c r="AY16" s="210"/>
      <c r="AZ16" s="211"/>
    </row>
    <row r="17" spans="1:52" ht="38.25" customHeight="1" x14ac:dyDescent="0.3">
      <c r="A17" s="165"/>
      <c r="B17" s="166"/>
      <c r="C17" s="166"/>
      <c r="D17" s="166"/>
      <c r="E17" s="166"/>
      <c r="F17" s="166"/>
      <c r="G17" s="166"/>
      <c r="H17" s="166"/>
      <c r="I17" s="166"/>
      <c r="J17" s="167"/>
      <c r="K17" s="167"/>
      <c r="L17" s="167"/>
      <c r="M17" s="167"/>
      <c r="N17" s="168"/>
      <c r="O17" s="220" t="s">
        <v>36</v>
      </c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2"/>
      <c r="AK17" s="42">
        <v>8</v>
      </c>
      <c r="AL17" s="75" t="s">
        <v>213</v>
      </c>
      <c r="AM17" s="75"/>
      <c r="AN17" s="75"/>
      <c r="AO17" s="75"/>
      <c r="AP17" s="65"/>
      <c r="AQ17" s="79" t="s">
        <v>214</v>
      </c>
      <c r="AR17" s="79"/>
      <c r="AS17" s="79"/>
      <c r="AT17" s="96"/>
      <c r="AU17" s="97"/>
      <c r="AV17" s="209"/>
      <c r="AW17" s="210"/>
      <c r="AX17" s="210"/>
      <c r="AY17" s="210"/>
      <c r="AZ17" s="211"/>
    </row>
    <row r="18" spans="1:52" ht="40.5" customHeight="1" thickBot="1" x14ac:dyDescent="0.35">
      <c r="A18" s="165"/>
      <c r="B18" s="166"/>
      <c r="C18" s="166"/>
      <c r="D18" s="166"/>
      <c r="E18" s="166"/>
      <c r="F18" s="166"/>
      <c r="G18" s="166"/>
      <c r="H18" s="166"/>
      <c r="I18" s="166"/>
      <c r="J18" s="167"/>
      <c r="K18" s="167"/>
      <c r="L18" s="167"/>
      <c r="M18" s="167"/>
      <c r="N18" s="168"/>
      <c r="O18" s="229" t="s">
        <v>97</v>
      </c>
      <c r="P18" s="230"/>
      <c r="Q18" s="230"/>
      <c r="R18" s="231"/>
      <c r="S18" s="17" t="s">
        <v>107</v>
      </c>
      <c r="T18" s="163">
        <f>SUM(Y20:AB23)</f>
        <v>6050000</v>
      </c>
      <c r="U18" s="163"/>
      <c r="V18" s="163"/>
      <c r="W18" s="163"/>
      <c r="X18" s="164"/>
      <c r="Y18" s="226" t="s">
        <v>98</v>
      </c>
      <c r="Z18" s="227"/>
      <c r="AA18" s="227"/>
      <c r="AB18" s="227"/>
      <c r="AC18" s="227"/>
      <c r="AD18" s="227"/>
      <c r="AE18" s="227"/>
      <c r="AF18" s="228"/>
      <c r="AG18" s="223">
        <f>T18-5000000</f>
        <v>1050000</v>
      </c>
      <c r="AH18" s="224"/>
      <c r="AI18" s="224"/>
      <c r="AJ18" s="225"/>
      <c r="AK18" s="76">
        <v>9</v>
      </c>
      <c r="AL18" s="74" t="s">
        <v>230</v>
      </c>
      <c r="AM18" s="74"/>
      <c r="AN18" s="74"/>
      <c r="AO18" s="74"/>
      <c r="AP18" s="77"/>
      <c r="AQ18" s="78" t="s">
        <v>215</v>
      </c>
      <c r="AR18" s="79"/>
      <c r="AS18" s="79"/>
      <c r="AT18" s="96"/>
      <c r="AU18" s="97"/>
      <c r="AV18" s="209"/>
      <c r="AW18" s="210"/>
      <c r="AX18" s="210"/>
      <c r="AY18" s="210"/>
      <c r="AZ18" s="211"/>
    </row>
    <row r="19" spans="1:52" ht="40.5" customHeight="1" thickTop="1" x14ac:dyDescent="0.3">
      <c r="A19" s="165"/>
      <c r="B19" s="166"/>
      <c r="C19" s="166"/>
      <c r="D19" s="166"/>
      <c r="E19" s="166"/>
      <c r="F19" s="166"/>
      <c r="G19" s="166"/>
      <c r="H19" s="166"/>
      <c r="I19" s="166"/>
      <c r="J19" s="167"/>
      <c r="K19" s="167"/>
      <c r="L19" s="167"/>
      <c r="M19" s="167"/>
      <c r="N19" s="168"/>
      <c r="O19" s="239" t="s">
        <v>90</v>
      </c>
      <c r="P19" s="240"/>
      <c r="Q19" s="240"/>
      <c r="R19" s="240"/>
      <c r="S19" s="240"/>
      <c r="T19" s="240" t="s">
        <v>91</v>
      </c>
      <c r="U19" s="240"/>
      <c r="V19" s="240"/>
      <c r="W19" s="240"/>
      <c r="X19" s="240"/>
      <c r="Y19" s="240" t="s">
        <v>92</v>
      </c>
      <c r="Z19" s="240"/>
      <c r="AA19" s="240"/>
      <c r="AB19" s="240"/>
      <c r="AC19" s="240" t="s">
        <v>93</v>
      </c>
      <c r="AD19" s="240"/>
      <c r="AE19" s="240"/>
      <c r="AF19" s="240"/>
      <c r="AG19" s="240"/>
      <c r="AH19" s="240"/>
      <c r="AI19" s="240"/>
      <c r="AJ19" s="241"/>
      <c r="AK19" s="76"/>
      <c r="AL19" s="74"/>
      <c r="AM19" s="74"/>
      <c r="AN19" s="74"/>
      <c r="AO19" s="74"/>
      <c r="AP19" s="77"/>
      <c r="AQ19" s="79"/>
      <c r="AR19" s="79"/>
      <c r="AS19" s="79"/>
      <c r="AT19" s="96"/>
      <c r="AU19" s="97"/>
      <c r="AV19" s="209"/>
      <c r="AW19" s="210"/>
      <c r="AX19" s="210"/>
      <c r="AY19" s="210"/>
      <c r="AZ19" s="211"/>
    </row>
    <row r="20" spans="1:52" ht="40.5" customHeight="1" x14ac:dyDescent="0.3">
      <c r="A20" s="165"/>
      <c r="B20" s="166"/>
      <c r="C20" s="166"/>
      <c r="D20" s="166"/>
      <c r="E20" s="166"/>
      <c r="F20" s="166"/>
      <c r="G20" s="166"/>
      <c r="H20" s="166"/>
      <c r="I20" s="166"/>
      <c r="J20" s="167"/>
      <c r="K20" s="167"/>
      <c r="L20" s="167"/>
      <c r="M20" s="167"/>
      <c r="N20" s="168"/>
      <c r="O20" s="242" t="s">
        <v>94</v>
      </c>
      <c r="P20" s="171"/>
      <c r="Q20" s="171"/>
      <c r="R20" s="171"/>
      <c r="S20" s="171"/>
      <c r="T20" s="171" t="s">
        <v>95</v>
      </c>
      <c r="U20" s="171"/>
      <c r="V20" s="171"/>
      <c r="W20" s="171"/>
      <c r="X20" s="171"/>
      <c r="Y20" s="132">
        <v>3000000</v>
      </c>
      <c r="Z20" s="132"/>
      <c r="AA20" s="132"/>
      <c r="AB20" s="132"/>
      <c r="AC20" s="243" t="s">
        <v>99</v>
      </c>
      <c r="AD20" s="215"/>
      <c r="AE20" s="215"/>
      <c r="AF20" s="215"/>
      <c r="AG20" s="215"/>
      <c r="AH20" s="215"/>
      <c r="AI20" s="215"/>
      <c r="AJ20" s="216"/>
      <c r="AK20" s="42">
        <v>10</v>
      </c>
      <c r="AL20" s="75" t="s">
        <v>216</v>
      </c>
      <c r="AM20" s="75"/>
      <c r="AN20" s="75"/>
      <c r="AO20" s="75"/>
      <c r="AP20" s="64"/>
      <c r="AQ20" s="79" t="s">
        <v>218</v>
      </c>
      <c r="AR20" s="79"/>
      <c r="AS20" s="79"/>
      <c r="AT20" s="96"/>
      <c r="AU20" s="97"/>
      <c r="AV20" s="209"/>
      <c r="AW20" s="210"/>
      <c r="AX20" s="210"/>
      <c r="AY20" s="210"/>
      <c r="AZ20" s="211"/>
    </row>
    <row r="21" spans="1:52" ht="40.5" customHeight="1" x14ac:dyDescent="0.3">
      <c r="A21" s="165"/>
      <c r="B21" s="166"/>
      <c r="C21" s="166"/>
      <c r="D21" s="166"/>
      <c r="E21" s="166"/>
      <c r="F21" s="166"/>
      <c r="G21" s="166"/>
      <c r="H21" s="166"/>
      <c r="I21" s="166"/>
      <c r="J21" s="167"/>
      <c r="K21" s="167"/>
      <c r="L21" s="167"/>
      <c r="M21" s="167"/>
      <c r="N21" s="168"/>
      <c r="O21" s="242"/>
      <c r="P21" s="171"/>
      <c r="Q21" s="171"/>
      <c r="R21" s="171"/>
      <c r="S21" s="171"/>
      <c r="T21" s="171" t="s">
        <v>96</v>
      </c>
      <c r="U21" s="171"/>
      <c r="V21" s="171"/>
      <c r="W21" s="171"/>
      <c r="X21" s="171"/>
      <c r="Y21" s="132">
        <v>2500000</v>
      </c>
      <c r="Z21" s="132"/>
      <c r="AA21" s="132"/>
      <c r="AB21" s="132"/>
      <c r="AC21" s="243" t="s">
        <v>100</v>
      </c>
      <c r="AD21" s="215"/>
      <c r="AE21" s="215"/>
      <c r="AF21" s="215"/>
      <c r="AG21" s="215"/>
      <c r="AH21" s="215"/>
      <c r="AI21" s="215"/>
      <c r="AJ21" s="216"/>
      <c r="AK21" s="42">
        <v>11</v>
      </c>
      <c r="AL21" s="75" t="s">
        <v>217</v>
      </c>
      <c r="AM21" s="75"/>
      <c r="AN21" s="75"/>
      <c r="AO21" s="75"/>
      <c r="AP21" s="64"/>
      <c r="AQ21" s="79" t="s">
        <v>219</v>
      </c>
      <c r="AR21" s="79"/>
      <c r="AS21" s="79"/>
      <c r="AT21" s="96"/>
      <c r="AU21" s="97"/>
      <c r="AV21" s="209"/>
      <c r="AW21" s="210"/>
      <c r="AX21" s="210"/>
      <c r="AY21" s="210"/>
      <c r="AZ21" s="211"/>
    </row>
    <row r="22" spans="1:52" ht="40.5" customHeight="1" x14ac:dyDescent="0.3">
      <c r="A22" s="154" t="s">
        <v>11</v>
      </c>
      <c r="B22" s="8" t="s">
        <v>4</v>
      </c>
      <c r="C22" s="170" t="s">
        <v>85</v>
      </c>
      <c r="D22" s="170"/>
      <c r="E22" s="170"/>
      <c r="F22" s="170"/>
      <c r="G22" s="170"/>
      <c r="H22" s="133" t="s">
        <v>5</v>
      </c>
      <c r="I22" s="133"/>
      <c r="J22" s="133"/>
      <c r="K22" s="158"/>
      <c r="L22" s="158"/>
      <c r="M22" s="158"/>
      <c r="N22" s="169"/>
      <c r="O22" s="242"/>
      <c r="P22" s="171"/>
      <c r="Q22" s="171"/>
      <c r="R22" s="171"/>
      <c r="S22" s="171"/>
      <c r="T22" s="171" t="s">
        <v>142</v>
      </c>
      <c r="U22" s="171"/>
      <c r="V22" s="171"/>
      <c r="W22" s="171"/>
      <c r="X22" s="171"/>
      <c r="Y22" s="132">
        <v>550000</v>
      </c>
      <c r="Z22" s="132"/>
      <c r="AA22" s="132"/>
      <c r="AB22" s="132"/>
      <c r="AC22" s="215"/>
      <c r="AD22" s="215"/>
      <c r="AE22" s="215"/>
      <c r="AF22" s="215"/>
      <c r="AG22" s="215"/>
      <c r="AH22" s="215"/>
      <c r="AI22" s="215"/>
      <c r="AJ22" s="216"/>
      <c r="AK22" s="80" t="s">
        <v>220</v>
      </c>
      <c r="AL22" s="81"/>
      <c r="AM22" s="81"/>
      <c r="AN22" s="81"/>
      <c r="AO22" s="81"/>
      <c r="AP22" s="66"/>
      <c r="AQ22" s="95"/>
      <c r="AR22" s="95"/>
      <c r="AS22" s="95"/>
      <c r="AT22" s="98"/>
      <c r="AU22" s="99"/>
      <c r="AV22" s="209"/>
      <c r="AW22" s="210"/>
      <c r="AX22" s="210"/>
      <c r="AY22" s="210"/>
      <c r="AZ22" s="211"/>
    </row>
    <row r="23" spans="1:52" ht="40.5" customHeight="1" thickBot="1" x14ac:dyDescent="0.35">
      <c r="A23" s="154"/>
      <c r="B23" s="8" t="s">
        <v>101</v>
      </c>
      <c r="C23" s="158"/>
      <c r="D23" s="158"/>
      <c r="E23" s="158"/>
      <c r="F23" s="158"/>
      <c r="G23" s="158"/>
      <c r="H23" s="133" t="s">
        <v>6</v>
      </c>
      <c r="I23" s="133"/>
      <c r="J23" s="133"/>
      <c r="K23" s="121"/>
      <c r="L23" s="121"/>
      <c r="M23" s="121"/>
      <c r="N23" s="122"/>
      <c r="O23" s="196"/>
      <c r="P23" s="197"/>
      <c r="Q23" s="197"/>
      <c r="R23" s="197"/>
      <c r="S23" s="197"/>
      <c r="T23" s="197"/>
      <c r="U23" s="197"/>
      <c r="V23" s="197"/>
      <c r="W23" s="197"/>
      <c r="X23" s="197"/>
      <c r="Y23" s="117"/>
      <c r="Z23" s="117"/>
      <c r="AA23" s="117"/>
      <c r="AB23" s="117"/>
      <c r="AC23" s="114"/>
      <c r="AD23" s="115"/>
      <c r="AE23" s="115"/>
      <c r="AF23" s="115"/>
      <c r="AG23" s="115"/>
      <c r="AH23" s="115"/>
      <c r="AI23" s="115"/>
      <c r="AJ23" s="116"/>
      <c r="AK23" s="42">
        <v>12</v>
      </c>
      <c r="AL23" s="75" t="s">
        <v>221</v>
      </c>
      <c r="AM23" s="75"/>
      <c r="AN23" s="75"/>
      <c r="AO23" s="75"/>
      <c r="AP23" s="64"/>
      <c r="AQ23" s="79" t="s">
        <v>222</v>
      </c>
      <c r="AR23" s="79"/>
      <c r="AS23" s="79"/>
      <c r="AT23" s="96"/>
      <c r="AU23" s="97"/>
      <c r="AV23" s="212"/>
      <c r="AW23" s="213"/>
      <c r="AX23" s="213"/>
      <c r="AY23" s="213"/>
      <c r="AZ23" s="214"/>
    </row>
    <row r="24" spans="1:52" ht="40.5" customHeight="1" thickTop="1" x14ac:dyDescent="0.3">
      <c r="A24" s="123" t="s">
        <v>190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118" t="s">
        <v>89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20"/>
      <c r="AK24" s="76">
        <v>13</v>
      </c>
      <c r="AL24" s="74" t="s">
        <v>231</v>
      </c>
      <c r="AM24" s="75"/>
      <c r="AN24" s="75"/>
      <c r="AO24" s="75"/>
      <c r="AP24" s="82"/>
      <c r="AQ24" s="79" t="s">
        <v>223</v>
      </c>
      <c r="AR24" s="79"/>
      <c r="AS24" s="79"/>
      <c r="AT24" s="96"/>
      <c r="AU24" s="97"/>
      <c r="AV24" s="18"/>
      <c r="AW24" s="19"/>
      <c r="AX24" s="19"/>
      <c r="AY24" s="19"/>
      <c r="AZ24" s="20"/>
    </row>
    <row r="25" spans="1:52" ht="39" customHeight="1" x14ac:dyDescent="0.3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236"/>
      <c r="P25" s="203"/>
      <c r="Q25" s="203"/>
      <c r="R25" s="203"/>
      <c r="S25" s="203"/>
      <c r="T25" s="203"/>
      <c r="U25" s="203"/>
      <c r="V25" s="203"/>
      <c r="W25" s="203"/>
      <c r="X25" s="203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3"/>
      <c r="AK25" s="76"/>
      <c r="AL25" s="75"/>
      <c r="AM25" s="75"/>
      <c r="AN25" s="75"/>
      <c r="AO25" s="75"/>
      <c r="AP25" s="82"/>
      <c r="AQ25" s="79"/>
      <c r="AR25" s="79"/>
      <c r="AS25" s="79"/>
      <c r="AT25" s="96"/>
      <c r="AU25" s="97"/>
      <c r="AV25" s="18"/>
      <c r="AW25" s="19"/>
      <c r="AX25" s="19" t="str">
        <f>A28</f>
        <v xml:space="preserve">  2021년         월         일</v>
      </c>
      <c r="AY25" s="19"/>
      <c r="AZ25" s="20"/>
    </row>
    <row r="26" spans="1:52" ht="39" customHeight="1" x14ac:dyDescent="0.3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  <c r="O26" s="236"/>
      <c r="P26" s="203"/>
      <c r="Q26" s="203"/>
      <c r="R26" s="203"/>
      <c r="S26" s="203"/>
      <c r="T26" s="203"/>
      <c r="U26" s="203"/>
      <c r="V26" s="203"/>
      <c r="W26" s="203"/>
      <c r="X26" s="203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3"/>
      <c r="AK26" s="42">
        <v>14</v>
      </c>
      <c r="AL26" s="75" t="s">
        <v>224</v>
      </c>
      <c r="AM26" s="75"/>
      <c r="AN26" s="75"/>
      <c r="AO26" s="75"/>
      <c r="AP26" s="64"/>
      <c r="AQ26" s="86" t="s">
        <v>233</v>
      </c>
      <c r="AR26" s="87"/>
      <c r="AS26" s="87"/>
      <c r="AT26" s="87"/>
      <c r="AU26" s="88"/>
      <c r="AV26" s="21"/>
      <c r="AW26" s="22"/>
      <c r="AX26" s="22" t="s">
        <v>16</v>
      </c>
      <c r="AY26" s="172">
        <f>AX3</f>
        <v>0</v>
      </c>
      <c r="AZ26" s="173"/>
    </row>
    <row r="27" spans="1:52" ht="83.25" customHeight="1" x14ac:dyDescent="0.3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1"/>
      <c r="O27" s="236"/>
      <c r="P27" s="203"/>
      <c r="Q27" s="203"/>
      <c r="R27" s="203"/>
      <c r="S27" s="203"/>
      <c r="T27" s="203"/>
      <c r="U27" s="203"/>
      <c r="V27" s="203"/>
      <c r="W27" s="203"/>
      <c r="X27" s="203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3"/>
      <c r="AK27" s="42">
        <v>15</v>
      </c>
      <c r="AL27" s="74" t="s">
        <v>226</v>
      </c>
      <c r="AM27" s="75"/>
      <c r="AN27" s="75"/>
      <c r="AO27" s="75"/>
      <c r="AP27" s="64"/>
      <c r="AQ27" s="89"/>
      <c r="AR27" s="90"/>
      <c r="AS27" s="90"/>
      <c r="AT27" s="90"/>
      <c r="AU27" s="91"/>
      <c r="AV27" s="21"/>
      <c r="AW27" s="22"/>
      <c r="AX27" s="22" t="s">
        <v>25</v>
      </c>
      <c r="AY27" s="23">
        <f>C6</f>
        <v>0</v>
      </c>
      <c r="AZ27" s="24" t="s">
        <v>26</v>
      </c>
    </row>
    <row r="28" spans="1:52" ht="36" customHeight="1" x14ac:dyDescent="0.3">
      <c r="A28" s="174" t="s">
        <v>45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75"/>
      <c r="O28" s="236"/>
      <c r="P28" s="203"/>
      <c r="Q28" s="203"/>
      <c r="R28" s="203"/>
      <c r="S28" s="203"/>
      <c r="T28" s="203"/>
      <c r="U28" s="203"/>
      <c r="V28" s="203"/>
      <c r="W28" s="203"/>
      <c r="X28" s="203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3"/>
      <c r="AK28" s="45">
        <v>16</v>
      </c>
      <c r="AL28" s="75" t="s">
        <v>225</v>
      </c>
      <c r="AM28" s="75"/>
      <c r="AN28" s="75"/>
      <c r="AO28" s="75"/>
      <c r="AP28" s="64"/>
      <c r="AQ28" s="89"/>
      <c r="AR28" s="90"/>
      <c r="AS28" s="90"/>
      <c r="AT28" s="90"/>
      <c r="AU28" s="91"/>
      <c r="AV28" s="21"/>
      <c r="AW28" s="22"/>
      <c r="AX28" s="22" t="s">
        <v>22</v>
      </c>
      <c r="AY28" s="25"/>
      <c r="AZ28" s="24" t="s">
        <v>26</v>
      </c>
    </row>
    <row r="29" spans="1:52" ht="39" customHeight="1" x14ac:dyDescent="0.3">
      <c r="A29" s="155" t="s">
        <v>83</v>
      </c>
      <c r="B29" s="156"/>
      <c r="C29" s="156"/>
      <c r="D29" s="156"/>
      <c r="E29" s="156"/>
      <c r="F29" s="156"/>
      <c r="G29" s="156"/>
      <c r="H29" s="156"/>
      <c r="I29" s="156"/>
      <c r="J29" s="157">
        <f>C6</f>
        <v>0</v>
      </c>
      <c r="K29" s="157"/>
      <c r="L29" s="157"/>
      <c r="M29" s="26" t="s">
        <v>84</v>
      </c>
      <c r="N29" s="27"/>
      <c r="O29" s="236"/>
      <c r="P29" s="203"/>
      <c r="Q29" s="203"/>
      <c r="R29" s="203"/>
      <c r="S29" s="203"/>
      <c r="T29" s="203"/>
      <c r="U29" s="203"/>
      <c r="V29" s="203"/>
      <c r="W29" s="203"/>
      <c r="X29" s="203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3"/>
      <c r="AK29" s="76">
        <v>17</v>
      </c>
      <c r="AL29" s="74" t="s">
        <v>232</v>
      </c>
      <c r="AM29" s="74"/>
      <c r="AN29" s="74"/>
      <c r="AO29" s="74"/>
      <c r="AP29" s="82"/>
      <c r="AQ29" s="89"/>
      <c r="AR29" s="90"/>
      <c r="AS29" s="90"/>
      <c r="AT29" s="90"/>
      <c r="AU29" s="91"/>
      <c r="AV29" s="18"/>
      <c r="AW29" s="19"/>
      <c r="AX29" s="19"/>
      <c r="AY29" s="19"/>
      <c r="AZ29" s="20"/>
    </row>
    <row r="30" spans="1:52" ht="36.75" customHeight="1" thickBot="1" x14ac:dyDescent="0.35">
      <c r="A30" s="28" t="s">
        <v>7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237"/>
      <c r="P30" s="238"/>
      <c r="Q30" s="238"/>
      <c r="R30" s="238"/>
      <c r="S30" s="238"/>
      <c r="T30" s="238"/>
      <c r="U30" s="238"/>
      <c r="V30" s="238"/>
      <c r="W30" s="238"/>
      <c r="X30" s="238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5"/>
      <c r="AK30" s="84"/>
      <c r="AL30" s="83"/>
      <c r="AM30" s="83"/>
      <c r="AN30" s="83"/>
      <c r="AO30" s="83"/>
      <c r="AP30" s="85"/>
      <c r="AQ30" s="92"/>
      <c r="AR30" s="93"/>
      <c r="AS30" s="93"/>
      <c r="AT30" s="93"/>
      <c r="AU30" s="94"/>
      <c r="AV30" s="32" t="s">
        <v>24</v>
      </c>
      <c r="AW30" s="33"/>
      <c r="AX30" s="33"/>
      <c r="AY30" s="34"/>
      <c r="AZ30" s="35"/>
    </row>
    <row r="31" spans="1:52" ht="17.25" thickTop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5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mergeCells count="185">
    <mergeCell ref="AV10:AZ23"/>
    <mergeCell ref="AC22:AJ22"/>
    <mergeCell ref="AV8:AZ8"/>
    <mergeCell ref="O16:AJ16"/>
    <mergeCell ref="AG18:AJ18"/>
    <mergeCell ref="Y18:AF18"/>
    <mergeCell ref="O18:R18"/>
    <mergeCell ref="Y25:AJ30"/>
    <mergeCell ref="O25:X30"/>
    <mergeCell ref="O19:S19"/>
    <mergeCell ref="T19:X19"/>
    <mergeCell ref="Y19:AB19"/>
    <mergeCell ref="AC19:AJ19"/>
    <mergeCell ref="O20:S20"/>
    <mergeCell ref="T20:X20"/>
    <mergeCell ref="Y20:AB20"/>
    <mergeCell ref="AC20:AJ20"/>
    <mergeCell ref="AC21:AJ21"/>
    <mergeCell ref="O22:S22"/>
    <mergeCell ref="T22:X22"/>
    <mergeCell ref="Y22:AB22"/>
    <mergeCell ref="O21:S21"/>
    <mergeCell ref="O17:AJ17"/>
    <mergeCell ref="T23:X23"/>
    <mergeCell ref="X3:AF3"/>
    <mergeCell ref="P3:W3"/>
    <mergeCell ref="AK3:AL3"/>
    <mergeCell ref="AG3:AJ3"/>
    <mergeCell ref="O14:AJ14"/>
    <mergeCell ref="O15:AJ15"/>
    <mergeCell ref="AK5:AO5"/>
    <mergeCell ref="AK12:AO12"/>
    <mergeCell ref="AL13:AO14"/>
    <mergeCell ref="AK13:AK14"/>
    <mergeCell ref="A2:N2"/>
    <mergeCell ref="C3:G3"/>
    <mergeCell ref="H3:J3"/>
    <mergeCell ref="K3:N3"/>
    <mergeCell ref="C4:G4"/>
    <mergeCell ref="H4:J4"/>
    <mergeCell ref="K4:N4"/>
    <mergeCell ref="B7:B8"/>
    <mergeCell ref="C8:N8"/>
    <mergeCell ref="I7:K7"/>
    <mergeCell ref="L7:N7"/>
    <mergeCell ref="AY26:AZ26"/>
    <mergeCell ref="A28:N28"/>
    <mergeCell ref="AV9:AZ9"/>
    <mergeCell ref="AK2:AU2"/>
    <mergeCell ref="O2:AJ2"/>
    <mergeCell ref="O4:AJ4"/>
    <mergeCell ref="O5:AJ5"/>
    <mergeCell ref="O6:AJ6"/>
    <mergeCell ref="D7:E7"/>
    <mergeCell ref="G7:H7"/>
    <mergeCell ref="K5:N5"/>
    <mergeCell ref="A3:A9"/>
    <mergeCell ref="C5:G5"/>
    <mergeCell ref="H5:J5"/>
    <mergeCell ref="C6:G6"/>
    <mergeCell ref="F10:H10"/>
    <mergeCell ref="I10:K10"/>
    <mergeCell ref="F11:H11"/>
    <mergeCell ref="I11:K11"/>
    <mergeCell ref="AV2:AZ2"/>
    <mergeCell ref="AV4:AV5"/>
    <mergeCell ref="AV6:AV7"/>
    <mergeCell ref="H6:J6"/>
    <mergeCell ref="H12:I12"/>
    <mergeCell ref="A29:I29"/>
    <mergeCell ref="J29:L29"/>
    <mergeCell ref="C23:G23"/>
    <mergeCell ref="A14:N14"/>
    <mergeCell ref="J15:N15"/>
    <mergeCell ref="F15:I15"/>
    <mergeCell ref="A15:E15"/>
    <mergeCell ref="F12:G12"/>
    <mergeCell ref="T18:X18"/>
    <mergeCell ref="A16:E21"/>
    <mergeCell ref="A22:A23"/>
    <mergeCell ref="J12:K12"/>
    <mergeCell ref="L12:M12"/>
    <mergeCell ref="F13:G13"/>
    <mergeCell ref="H13:I13"/>
    <mergeCell ref="J13:K13"/>
    <mergeCell ref="L13:M13"/>
    <mergeCell ref="J16:N21"/>
    <mergeCell ref="K22:N22"/>
    <mergeCell ref="H23:J23"/>
    <mergeCell ref="F16:I21"/>
    <mergeCell ref="C22:G22"/>
    <mergeCell ref="H22:J22"/>
    <mergeCell ref="T21:X21"/>
    <mergeCell ref="AC23:AJ23"/>
    <mergeCell ref="Y23:AB23"/>
    <mergeCell ref="O24:AJ24"/>
    <mergeCell ref="K23:N23"/>
    <mergeCell ref="A24:N27"/>
    <mergeCell ref="Y21:AB21"/>
    <mergeCell ref="K6:N6"/>
    <mergeCell ref="L10:M10"/>
    <mergeCell ref="F9:N9"/>
    <mergeCell ref="O7:AJ7"/>
    <mergeCell ref="O8:P8"/>
    <mergeCell ref="Q9:AJ9"/>
    <mergeCell ref="B9:E9"/>
    <mergeCell ref="Q10:AJ10"/>
    <mergeCell ref="O11:P11"/>
    <mergeCell ref="Q11:AJ11"/>
    <mergeCell ref="O9:P10"/>
    <mergeCell ref="Q8:AJ8"/>
    <mergeCell ref="A10:E13"/>
    <mergeCell ref="O23:S23"/>
    <mergeCell ref="L11:M11"/>
    <mergeCell ref="O12:AJ12"/>
    <mergeCell ref="O13:AJ13"/>
    <mergeCell ref="AQ7:AS7"/>
    <mergeCell ref="AQ6:AS6"/>
    <mergeCell ref="AL8:AO9"/>
    <mergeCell ref="AK8:AK9"/>
    <mergeCell ref="AK10:AK11"/>
    <mergeCell ref="AQ3:AR3"/>
    <mergeCell ref="AS3:AU3"/>
    <mergeCell ref="AM4:AP4"/>
    <mergeCell ref="AR4:AU4"/>
    <mergeCell ref="AM3:AP3"/>
    <mergeCell ref="AP13:AP14"/>
    <mergeCell ref="AP12:AU12"/>
    <mergeCell ref="AL15:AO15"/>
    <mergeCell ref="AQ5:AS5"/>
    <mergeCell ref="AT5:AU5"/>
    <mergeCell ref="AT8:AU9"/>
    <mergeCell ref="AQ13:AS13"/>
    <mergeCell ref="AQ14:AS14"/>
    <mergeCell ref="AQ15:AS15"/>
    <mergeCell ref="AT13:AU13"/>
    <mergeCell ref="AT14:AU14"/>
    <mergeCell ref="AT15:AU15"/>
    <mergeCell ref="AQ10:AS10"/>
    <mergeCell ref="AQ11:AS11"/>
    <mergeCell ref="AL10:AO11"/>
    <mergeCell ref="AP10:AP11"/>
    <mergeCell ref="AP8:AP9"/>
    <mergeCell ref="AT6:AU6"/>
    <mergeCell ref="AT7:AU7"/>
    <mergeCell ref="AT10:AU10"/>
    <mergeCell ref="AT11:AU11"/>
    <mergeCell ref="AL6:AO6"/>
    <mergeCell ref="AL7:AO7"/>
    <mergeCell ref="AQ8:AS9"/>
    <mergeCell ref="AL29:AO30"/>
    <mergeCell ref="AK29:AK30"/>
    <mergeCell ref="AP29:AP30"/>
    <mergeCell ref="AQ26:AU30"/>
    <mergeCell ref="AL16:AO16"/>
    <mergeCell ref="AL17:AO17"/>
    <mergeCell ref="AL20:AO20"/>
    <mergeCell ref="AL21:AO21"/>
    <mergeCell ref="AL23:AO23"/>
    <mergeCell ref="AQ21:AS21"/>
    <mergeCell ref="AQ22:AS22"/>
    <mergeCell ref="AQ23:AS23"/>
    <mergeCell ref="AQ16:AS16"/>
    <mergeCell ref="AQ17:AS17"/>
    <mergeCell ref="AQ20:AS20"/>
    <mergeCell ref="AT21:AU21"/>
    <mergeCell ref="AT22:AU22"/>
    <mergeCell ref="AT23:AU23"/>
    <mergeCell ref="AT24:AU25"/>
    <mergeCell ref="AT16:AU16"/>
    <mergeCell ref="AT17:AU17"/>
    <mergeCell ref="AT20:AU20"/>
    <mergeCell ref="AT18:AU19"/>
    <mergeCell ref="AL26:AO26"/>
    <mergeCell ref="AL27:AO27"/>
    <mergeCell ref="AL28:AO28"/>
    <mergeCell ref="AL18:AO19"/>
    <mergeCell ref="AK18:AK19"/>
    <mergeCell ref="AP18:AP19"/>
    <mergeCell ref="AQ18:AS19"/>
    <mergeCell ref="AK22:AO22"/>
    <mergeCell ref="AK24:AK25"/>
    <mergeCell ref="AL24:AO25"/>
    <mergeCell ref="AP24:AP25"/>
    <mergeCell ref="AQ24:AS25"/>
  </mergeCells>
  <phoneticPr fontId="2" type="noConversion"/>
  <pageMargins left="0.7" right="0.7" top="0.75" bottom="0.75" header="0.3" footer="0.3"/>
  <pageSetup paperSize="9" scale="56" orientation="portrait" r:id="rId1"/>
  <colBreaks count="3" manualBreakCount="3">
    <brk id="14" max="28" man="1"/>
    <brk id="36" max="28" man="1"/>
    <brk id="4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"/>
  <sheetViews>
    <sheetView workbookViewId="0">
      <pane xSplit="2" ySplit="2" topLeftCell="C3" activePane="bottomRight" state="frozen"/>
      <selection activeCell="A24" sqref="A24:N27"/>
      <selection pane="topRight" activeCell="A24" sqref="A24:N27"/>
      <selection pane="bottomLeft" activeCell="A24" sqref="A24:N27"/>
      <selection pane="bottomRight" activeCell="D3" sqref="D3"/>
    </sheetView>
  </sheetViews>
  <sheetFormatPr defaultRowHeight="16.5" x14ac:dyDescent="0.3"/>
  <cols>
    <col min="2" max="2" width="7.125" bestFit="1" customWidth="1"/>
    <col min="3" max="3" width="15.125" bestFit="1" customWidth="1"/>
    <col min="4" max="4" width="16" bestFit="1" customWidth="1"/>
    <col min="6" max="7" width="7.125" bestFit="1" customWidth="1"/>
    <col min="8" max="8" width="10.25" bestFit="1" customWidth="1"/>
    <col min="9" max="9" width="11.875" bestFit="1" customWidth="1"/>
    <col min="10" max="11" width="3.375" bestFit="1" customWidth="1"/>
    <col min="12" max="12" width="5.25" bestFit="1" customWidth="1"/>
    <col min="13" max="13" width="5.25" customWidth="1"/>
    <col min="14" max="18" width="5.25" bestFit="1" customWidth="1"/>
    <col min="19" max="19" width="10.625" bestFit="1" customWidth="1"/>
    <col min="22" max="22" width="7.125" bestFit="1" customWidth="1"/>
    <col min="23" max="37" width="7.125" customWidth="1"/>
    <col min="38" max="38" width="15.875" bestFit="1" customWidth="1"/>
    <col min="39" max="39" width="9.5" bestFit="1" customWidth="1"/>
    <col min="40" max="40" width="13.75" bestFit="1" customWidth="1"/>
    <col min="41" max="41" width="10.375" bestFit="1" customWidth="1"/>
    <col min="42" max="42" width="14.625" bestFit="1" customWidth="1"/>
    <col min="43" max="43" width="16.375" bestFit="1" customWidth="1"/>
    <col min="44" max="44" width="16.625" bestFit="1" customWidth="1"/>
    <col min="45" max="46" width="14.625" bestFit="1" customWidth="1"/>
    <col min="47" max="47" width="16.625" bestFit="1" customWidth="1"/>
    <col min="48" max="49" width="11.375" bestFit="1" customWidth="1"/>
    <col min="50" max="50" width="9" bestFit="1" customWidth="1"/>
    <col min="51" max="51" width="15.875" bestFit="1" customWidth="1"/>
    <col min="53" max="53" width="5.25" bestFit="1" customWidth="1"/>
    <col min="55" max="55" width="13.75" bestFit="1" customWidth="1"/>
    <col min="57" max="57" width="17.25" bestFit="1" customWidth="1"/>
    <col min="58" max="59" width="17.25" customWidth="1"/>
    <col min="60" max="60" width="24.875" bestFit="1" customWidth="1"/>
  </cols>
  <sheetData>
    <row r="1" spans="1:60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</row>
    <row r="2" spans="1:60" x14ac:dyDescent="0.3">
      <c r="A2" s="56" t="s">
        <v>28</v>
      </c>
      <c r="B2" s="56" t="s">
        <v>16</v>
      </c>
      <c r="C2" s="56" t="s">
        <v>18</v>
      </c>
      <c r="D2" s="56" t="s">
        <v>9</v>
      </c>
      <c r="E2" s="56" t="s">
        <v>40</v>
      </c>
      <c r="F2" s="56" t="s">
        <v>39</v>
      </c>
      <c r="G2" s="56" t="s">
        <v>25</v>
      </c>
      <c r="H2" s="56" t="s">
        <v>42</v>
      </c>
      <c r="I2" s="68" t="s">
        <v>78</v>
      </c>
      <c r="J2" s="56" t="s">
        <v>53</v>
      </c>
      <c r="K2" s="56" t="s">
        <v>54</v>
      </c>
      <c r="L2" s="56" t="s">
        <v>55</v>
      </c>
      <c r="M2" s="68" t="s">
        <v>88</v>
      </c>
      <c r="N2" s="56" t="s">
        <v>57</v>
      </c>
      <c r="O2" s="56" t="s">
        <v>58</v>
      </c>
      <c r="P2" s="56" t="s">
        <v>59</v>
      </c>
      <c r="Q2" s="56" t="s">
        <v>60</v>
      </c>
      <c r="R2" s="56" t="s">
        <v>79</v>
      </c>
      <c r="S2" s="56" t="s">
        <v>80</v>
      </c>
      <c r="T2" s="56" t="s">
        <v>19</v>
      </c>
      <c r="U2" s="56" t="s">
        <v>10</v>
      </c>
      <c r="V2" s="56" t="s">
        <v>20</v>
      </c>
      <c r="W2" s="69" t="s">
        <v>236</v>
      </c>
      <c r="X2" s="69" t="s">
        <v>202</v>
      </c>
      <c r="Y2" s="69" t="s">
        <v>237</v>
      </c>
      <c r="Z2" s="69" t="s">
        <v>204</v>
      </c>
      <c r="AA2" s="69" t="s">
        <v>205</v>
      </c>
      <c r="AB2" s="58" t="s">
        <v>238</v>
      </c>
      <c r="AC2" s="58" t="s">
        <v>239</v>
      </c>
      <c r="AD2" s="58" t="s">
        <v>240</v>
      </c>
      <c r="AE2" s="58" t="s">
        <v>241</v>
      </c>
      <c r="AF2" s="58" t="s">
        <v>242</v>
      </c>
      <c r="AG2" s="58" t="s">
        <v>243</v>
      </c>
      <c r="AH2" s="58" t="s">
        <v>244</v>
      </c>
      <c r="AI2" s="70"/>
      <c r="AJ2" s="58" t="s">
        <v>245</v>
      </c>
      <c r="AK2" s="58" t="s">
        <v>246</v>
      </c>
      <c r="AL2" s="58" t="s">
        <v>247</v>
      </c>
      <c r="AM2" s="57" t="s">
        <v>248</v>
      </c>
      <c r="AN2" s="57" t="s">
        <v>250</v>
      </c>
      <c r="AO2" s="57" t="s">
        <v>251</v>
      </c>
      <c r="AP2" s="59" t="s">
        <v>252</v>
      </c>
      <c r="AQ2" s="59" t="s">
        <v>249</v>
      </c>
      <c r="AR2" s="57" t="s">
        <v>253</v>
      </c>
      <c r="AS2" s="57" t="s">
        <v>254</v>
      </c>
      <c r="AT2" s="57" t="s">
        <v>255</v>
      </c>
      <c r="AU2" s="57" t="s">
        <v>256</v>
      </c>
      <c r="AV2" s="57" t="s">
        <v>257</v>
      </c>
      <c r="AW2" s="57" t="s">
        <v>258</v>
      </c>
      <c r="AX2" s="69" t="s">
        <v>259</v>
      </c>
      <c r="AY2" s="69" t="s">
        <v>247</v>
      </c>
      <c r="AZ2" s="56" t="s">
        <v>41</v>
      </c>
      <c r="BA2" s="56" t="s">
        <v>34</v>
      </c>
      <c r="BB2" s="56" t="s">
        <v>49</v>
      </c>
      <c r="BC2" s="56" t="s">
        <v>30</v>
      </c>
      <c r="BD2" s="56" t="s">
        <v>65</v>
      </c>
      <c r="BE2" s="59" t="s">
        <v>81</v>
      </c>
      <c r="BF2" s="59" t="s">
        <v>235</v>
      </c>
      <c r="BG2" s="59" t="s">
        <v>108</v>
      </c>
      <c r="BH2" s="59" t="s">
        <v>82</v>
      </c>
    </row>
    <row r="3" spans="1:60" x14ac:dyDescent="0.3">
      <c r="A3" s="2"/>
      <c r="B3" s="2">
        <f>'서식 1,2,3,4'!C3</f>
        <v>0</v>
      </c>
      <c r="C3" s="2">
        <f>'서식 1,2,3,4'!K4</f>
        <v>0</v>
      </c>
      <c r="D3" s="371" t="str">
        <f>'서식 1,2,3,4'!K5</f>
        <v>예시)2021-06-02</v>
      </c>
      <c r="E3" s="2">
        <f>'서식 1,2,3,4'!C4</f>
        <v>0</v>
      </c>
      <c r="F3" s="2" t="str">
        <f>'서식 1,2,3,4'!C5</f>
        <v>예시)제조업</v>
      </c>
      <c r="G3" s="2">
        <f>'서식 1,2,3,4'!C6</f>
        <v>0</v>
      </c>
      <c r="H3" s="2" t="str">
        <f>'서식 1,2,3,4'!G7</f>
        <v>예시) 부천</v>
      </c>
      <c r="I3" s="3">
        <f>'서식 1,2,3,4'!F9</f>
        <v>0</v>
      </c>
      <c r="J3" s="2">
        <f>'서식 1,2,3,4'!F11</f>
        <v>0</v>
      </c>
      <c r="K3" s="2">
        <f>'서식 1,2,3,4'!I11</f>
        <v>0</v>
      </c>
      <c r="L3" s="2">
        <f>'서식 1,2,3,4'!L11</f>
        <v>0</v>
      </c>
      <c r="M3" s="2" t="str">
        <f>'서식 1,2,3,4'!N11</f>
        <v>O</v>
      </c>
      <c r="N3" s="2">
        <f>'서식 1,2,3,4'!F13</f>
        <v>0</v>
      </c>
      <c r="O3" s="2">
        <f>'서식 1,2,3,4'!H13</f>
        <v>0</v>
      </c>
      <c r="P3" s="2">
        <f>'서식 1,2,3,4'!J13</f>
        <v>0</v>
      </c>
      <c r="Q3" s="2">
        <f>'서식 1,2,3,4'!L13</f>
        <v>0</v>
      </c>
      <c r="R3" s="2" t="str">
        <f>'서식 1,2,3,4'!N13</f>
        <v>O</v>
      </c>
      <c r="S3" s="2" t="str">
        <f>'서식 1,2,3,4'!C22</f>
        <v>(직위 :     )</v>
      </c>
      <c r="T3" s="2">
        <f>'서식 1,2,3,4'!K22</f>
        <v>0</v>
      </c>
      <c r="U3" s="2">
        <f>'서식 1,2,3,4'!C23</f>
        <v>0</v>
      </c>
      <c r="V3" s="2">
        <f>'서식 1,2,3,4'!K23</f>
        <v>0</v>
      </c>
      <c r="W3" s="2">
        <f>'서식 1,2,3,4'!AT6</f>
        <v>0</v>
      </c>
      <c r="X3" s="2">
        <f>'서식 1,2,3,4'!AT7</f>
        <v>0</v>
      </c>
      <c r="Y3" s="2">
        <f>'서식 1,2,3,4'!AT8</f>
        <v>0</v>
      </c>
      <c r="Z3" s="2">
        <f>'서식 1,2,3,4'!AT10</f>
        <v>0</v>
      </c>
      <c r="AA3" s="2">
        <f>'서식 1,2,3,4'!AT11</f>
        <v>0</v>
      </c>
      <c r="AB3" s="2">
        <f>'서식 1,2,3,4'!AT13</f>
        <v>0</v>
      </c>
      <c r="AC3" s="2">
        <f>'서식 1,2,3,4'!AT14</f>
        <v>0</v>
      </c>
      <c r="AD3" s="2">
        <f>'서식 1,2,3,4'!AT15</f>
        <v>0</v>
      </c>
      <c r="AE3" s="2">
        <f>'서식 1,2,3,4'!AT16</f>
        <v>0</v>
      </c>
      <c r="AF3" s="2">
        <f>'서식 1,2,3,4'!AT17</f>
        <v>0</v>
      </c>
      <c r="AG3" s="2">
        <f>'서식 1,2,3,4'!AT18</f>
        <v>0</v>
      </c>
      <c r="AH3" s="2">
        <f>'서식 1,2,3,4'!AT20</f>
        <v>0</v>
      </c>
      <c r="AI3" s="2"/>
      <c r="AJ3" s="2">
        <f>'서식 1,2,3,4'!AT21</f>
        <v>0</v>
      </c>
      <c r="AK3" s="2">
        <f>'서식 1,2,3,4'!AT23</f>
        <v>0</v>
      </c>
      <c r="AL3" s="2">
        <f>'서식 1,2,3,4'!AT24</f>
        <v>0</v>
      </c>
      <c r="AM3" s="2">
        <f>SUM(AO3,AR3:AW3)</f>
        <v>0</v>
      </c>
      <c r="AN3" s="2" t="str">
        <f>IF(SUM(W3:AA3)=5,"제출","미제출")</f>
        <v>미제출</v>
      </c>
      <c r="AO3" s="2">
        <f>SUM(AP3:AQ3)</f>
        <v>0</v>
      </c>
      <c r="AP3" s="2">
        <f>IF(AB3=1,30,0)</f>
        <v>0</v>
      </c>
      <c r="AQ3" s="2">
        <f>IF(AC3=1,20,0)</f>
        <v>0</v>
      </c>
      <c r="AR3" s="2">
        <f>IF(AD3=1,10,0)</f>
        <v>0</v>
      </c>
      <c r="AS3" s="2">
        <f>IF(AE3=1,10,0)</f>
        <v>0</v>
      </c>
      <c r="AT3" s="2">
        <f>IF(AF3=1,10,0)</f>
        <v>0</v>
      </c>
      <c r="AU3" s="2">
        <f>IF(AG3=1,10,0)</f>
        <v>0</v>
      </c>
      <c r="AV3" s="2">
        <f>IF(AH3=1,5,0)</f>
        <v>0</v>
      </c>
      <c r="AW3" s="2">
        <f>IF(AJ3=1,5,0)</f>
        <v>0</v>
      </c>
      <c r="AX3" s="2">
        <f>IF(AK3=1,2,0)</f>
        <v>0</v>
      </c>
      <c r="AY3" s="2">
        <f>IF(AL3=1,3,0)</f>
        <v>0</v>
      </c>
      <c r="AZ3" s="2">
        <f>'서식 1,2,3,4'!D7</f>
        <v>0</v>
      </c>
      <c r="BA3" s="2">
        <f>'서식 1,2,3,4'!C8</f>
        <v>0</v>
      </c>
      <c r="BB3" s="2" t="str">
        <f>'서식 1,2,3,4'!K3</f>
        <v>예시)2</v>
      </c>
      <c r="BC3" s="3">
        <f>'서식 1,2,3,4'!K6</f>
        <v>0</v>
      </c>
      <c r="BD3" s="2">
        <f>'서식 1,2,3,4'!L7</f>
        <v>0</v>
      </c>
      <c r="BE3" s="2" t="str">
        <f>'서식 1,2,3,4'!AG3</f>
        <v>예시)1</v>
      </c>
      <c r="BF3" s="2" t="b">
        <f>IF(BE3=1,"산재교육",IF(BE3=2,"시설개선",IF(BE3=3,"안전장비",IF(BE3=4,"보건지원"))))</f>
        <v>0</v>
      </c>
      <c r="BG3" s="3">
        <f>'서식 1,2,3,4'!T18</f>
        <v>6050000</v>
      </c>
      <c r="BH3" s="2">
        <f>'서식 1,2,3,4'!AD8</f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topLeftCell="A16" zoomScale="60" zoomScaleNormal="100" workbookViewId="0">
      <selection activeCell="A24" sqref="A24:N27"/>
    </sheetView>
  </sheetViews>
  <sheetFormatPr defaultRowHeight="16.5" x14ac:dyDescent="0.3"/>
  <cols>
    <col min="1" max="1" width="12.375" customWidth="1"/>
    <col min="6" max="10" width="12.625" customWidth="1"/>
    <col min="11" max="11" width="14" customWidth="1"/>
    <col min="12" max="13" width="9.625" customWidth="1"/>
    <col min="14" max="14" width="11.25" customWidth="1"/>
  </cols>
  <sheetData>
    <row r="1" spans="1:14" ht="30" customHeight="1" thickBot="1" x14ac:dyDescent="0.35">
      <c r="A1" s="6" t="s">
        <v>102</v>
      </c>
      <c r="B1" s="7">
        <v>1</v>
      </c>
    </row>
    <row r="2" spans="1:14" ht="31.5" customHeight="1" x14ac:dyDescent="0.3">
      <c r="A2" s="282" t="s">
        <v>105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4"/>
    </row>
    <row r="3" spans="1:14" ht="31.5" customHeight="1" x14ac:dyDescent="0.3">
      <c r="A3" s="50" t="s">
        <v>16</v>
      </c>
      <c r="B3" s="285" t="e">
        <f>VLOOKUP($B$1,'개별 접수내역 및 서류심사'!$A$3:$BH$174,2,0)</f>
        <v>#N/A</v>
      </c>
      <c r="C3" s="285"/>
      <c r="D3" s="285"/>
      <c r="E3" s="9" t="s">
        <v>103</v>
      </c>
      <c r="F3" s="286" t="e">
        <f>VLOOKUP($B$1,'개별 접수내역 및 서류심사'!$A$3:$BH$174,6,0)</f>
        <v>#N/A</v>
      </c>
      <c r="G3" s="286"/>
      <c r="H3" s="37" t="s">
        <v>104</v>
      </c>
      <c r="I3" s="287" t="e">
        <f>VLOOKUP($B$1,'개별 접수내역 및 서류심사'!$A$3:$BH$174,5,0)</f>
        <v>#N/A</v>
      </c>
      <c r="J3" s="287"/>
      <c r="K3" s="37" t="s">
        <v>288</v>
      </c>
      <c r="L3" s="288" t="s">
        <v>322</v>
      </c>
      <c r="M3" s="289"/>
      <c r="N3" s="290"/>
    </row>
    <row r="4" spans="1:14" ht="31.5" customHeight="1" x14ac:dyDescent="0.3">
      <c r="A4" s="50" t="s">
        <v>34</v>
      </c>
      <c r="B4" s="287" t="e">
        <f>VLOOKUP($B$1,'개별 접수내역 및 서류심사'!$A$3:$BH$174,53,0)</f>
        <v>#N/A</v>
      </c>
      <c r="C4" s="287"/>
      <c r="D4" s="287"/>
      <c r="E4" s="287"/>
      <c r="F4" s="287"/>
      <c r="G4" s="287"/>
      <c r="H4" s="287"/>
      <c r="I4" s="287"/>
      <c r="J4" s="287"/>
      <c r="K4" s="37" t="s">
        <v>109</v>
      </c>
      <c r="L4" s="203"/>
      <c r="M4" s="203"/>
      <c r="N4" s="264"/>
    </row>
    <row r="5" spans="1:14" ht="31.5" customHeight="1" x14ac:dyDescent="0.3">
      <c r="A5" s="50" t="s">
        <v>110</v>
      </c>
      <c r="B5" s="293" t="e">
        <f>VLOOKUP($B$1,'개별 접수내역 및 서류심사'!$A$3:$BH$174,19,0)</f>
        <v>#N/A</v>
      </c>
      <c r="C5" s="294"/>
      <c r="D5" s="294"/>
      <c r="E5" s="294"/>
      <c r="F5" s="295"/>
      <c r="G5" s="49" t="s">
        <v>260</v>
      </c>
      <c r="H5" s="293" t="e">
        <f>VLOOKUP($B$1,'개별 접수내역 및 서류심사'!$A$3:$BH$174,20,0)</f>
        <v>#N/A</v>
      </c>
      <c r="I5" s="294"/>
      <c r="J5" s="295"/>
      <c r="K5" s="49" t="s">
        <v>111</v>
      </c>
      <c r="L5" s="285" t="e">
        <f>VLOOKUP($B$1,'개별 접수내역 및 서류심사'!$A$3:$BH$174,21,0)</f>
        <v>#N/A</v>
      </c>
      <c r="M5" s="285"/>
      <c r="N5" s="291"/>
    </row>
    <row r="6" spans="1:14" ht="31.5" customHeight="1" x14ac:dyDescent="0.3">
      <c r="A6" s="50" t="s">
        <v>112</v>
      </c>
      <c r="B6" s="272" t="s">
        <v>113</v>
      </c>
      <c r="C6" s="272"/>
      <c r="D6" s="272"/>
      <c r="E6" s="272"/>
      <c r="F6" s="272"/>
      <c r="G6" s="272"/>
      <c r="H6" s="272" t="s">
        <v>117</v>
      </c>
      <c r="I6" s="272"/>
      <c r="J6" s="272" t="s">
        <v>118</v>
      </c>
      <c r="K6" s="272"/>
      <c r="L6" s="272"/>
      <c r="M6" s="272"/>
      <c r="N6" s="273"/>
    </row>
    <row r="7" spans="1:14" ht="31.5" customHeight="1" x14ac:dyDescent="0.3">
      <c r="A7" s="51">
        <v>1</v>
      </c>
      <c r="B7" s="265" t="s">
        <v>323</v>
      </c>
      <c r="C7" s="266"/>
      <c r="D7" s="266"/>
      <c r="E7" s="266"/>
      <c r="F7" s="266"/>
      <c r="G7" s="267"/>
      <c r="H7" s="41" t="s">
        <v>121</v>
      </c>
      <c r="I7" s="41" t="s">
        <v>120</v>
      </c>
      <c r="J7" s="268" t="s">
        <v>324</v>
      </c>
      <c r="K7" s="269"/>
      <c r="L7" s="269"/>
      <c r="M7" s="269"/>
      <c r="N7" s="270"/>
    </row>
    <row r="8" spans="1:14" ht="31.5" customHeight="1" x14ac:dyDescent="0.3">
      <c r="A8" s="51">
        <v>2</v>
      </c>
      <c r="B8" s="265" t="s">
        <v>115</v>
      </c>
      <c r="C8" s="266"/>
      <c r="D8" s="266"/>
      <c r="E8" s="266"/>
      <c r="F8" s="266"/>
      <c r="G8" s="267"/>
      <c r="H8" s="41" t="s">
        <v>121</v>
      </c>
      <c r="I8" s="41" t="s">
        <v>120</v>
      </c>
      <c r="J8" s="268" t="s">
        <v>119</v>
      </c>
      <c r="K8" s="269"/>
      <c r="L8" s="269"/>
      <c r="M8" s="269"/>
      <c r="N8" s="270"/>
    </row>
    <row r="9" spans="1:14" ht="31.5" customHeight="1" x14ac:dyDescent="0.3">
      <c r="A9" s="51">
        <v>3</v>
      </c>
      <c r="B9" s="265" t="s">
        <v>116</v>
      </c>
      <c r="C9" s="266"/>
      <c r="D9" s="266"/>
      <c r="E9" s="266"/>
      <c r="F9" s="266"/>
      <c r="G9" s="267"/>
      <c r="H9" s="41" t="s">
        <v>121</v>
      </c>
      <c r="I9" s="41" t="s">
        <v>120</v>
      </c>
      <c r="J9" s="268" t="s">
        <v>122</v>
      </c>
      <c r="K9" s="269"/>
      <c r="L9" s="269"/>
      <c r="M9" s="269"/>
      <c r="N9" s="270"/>
    </row>
    <row r="10" spans="1:14" ht="31.5" customHeight="1" x14ac:dyDescent="0.3">
      <c r="A10" s="51">
        <v>4</v>
      </c>
      <c r="B10" s="265" t="s">
        <v>123</v>
      </c>
      <c r="C10" s="266"/>
      <c r="D10" s="266"/>
      <c r="E10" s="266"/>
      <c r="F10" s="266"/>
      <c r="G10" s="267"/>
      <c r="H10" s="41" t="s">
        <v>121</v>
      </c>
      <c r="I10" s="41" t="s">
        <v>120</v>
      </c>
      <c r="J10" s="268" t="s">
        <v>325</v>
      </c>
      <c r="K10" s="269"/>
      <c r="L10" s="269"/>
      <c r="M10" s="269"/>
      <c r="N10" s="270"/>
    </row>
    <row r="11" spans="1:14" ht="31.5" customHeight="1" x14ac:dyDescent="0.3">
      <c r="A11" s="51">
        <v>5</v>
      </c>
      <c r="B11" s="271" t="s">
        <v>124</v>
      </c>
      <c r="C11" s="271"/>
      <c r="D11" s="271"/>
      <c r="E11" s="271"/>
      <c r="F11" s="271"/>
      <c r="G11" s="271"/>
      <c r="H11" s="38" t="s">
        <v>121</v>
      </c>
      <c r="I11" s="38" t="s">
        <v>120</v>
      </c>
      <c r="J11" s="252" t="s">
        <v>125</v>
      </c>
      <c r="K11" s="252"/>
      <c r="L11" s="252"/>
      <c r="M11" s="252"/>
      <c r="N11" s="296"/>
    </row>
    <row r="12" spans="1:14" ht="31.5" customHeight="1" x14ac:dyDescent="0.3">
      <c r="A12" s="281" t="s">
        <v>137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54"/>
      <c r="L12" s="254"/>
      <c r="M12" s="254"/>
      <c r="N12" s="255"/>
    </row>
    <row r="13" spans="1:14" ht="31.5" customHeight="1" x14ac:dyDescent="0.3">
      <c r="A13" s="281" t="s">
        <v>113</v>
      </c>
      <c r="B13" s="272"/>
      <c r="C13" s="272"/>
      <c r="D13" s="272"/>
      <c r="E13" s="272"/>
      <c r="F13" s="272" t="s">
        <v>114</v>
      </c>
      <c r="G13" s="272"/>
      <c r="H13" s="272"/>
      <c r="I13" s="272"/>
      <c r="J13" s="272"/>
      <c r="K13" s="272" t="s">
        <v>268</v>
      </c>
      <c r="L13" s="272"/>
      <c r="M13" s="272" t="s">
        <v>263</v>
      </c>
      <c r="N13" s="273"/>
    </row>
    <row r="14" spans="1:14" ht="31.5" customHeight="1" x14ac:dyDescent="0.3">
      <c r="A14" s="274" t="s">
        <v>265</v>
      </c>
      <c r="B14" s="275"/>
      <c r="C14" s="275"/>
      <c r="D14" s="275"/>
      <c r="E14" s="276"/>
      <c r="F14" s="252" t="s">
        <v>261</v>
      </c>
      <c r="G14" s="252"/>
      <c r="H14" s="252"/>
      <c r="I14" s="252"/>
      <c r="J14" s="252"/>
      <c r="K14" s="253">
        <v>30</v>
      </c>
      <c r="L14" s="253"/>
      <c r="M14" s="254"/>
      <c r="N14" s="255"/>
    </row>
    <row r="15" spans="1:14" ht="31.5" customHeight="1" x14ac:dyDescent="0.3">
      <c r="A15" s="277"/>
      <c r="B15" s="278"/>
      <c r="C15" s="278"/>
      <c r="D15" s="278"/>
      <c r="E15" s="279"/>
      <c r="F15" s="252" t="s">
        <v>262</v>
      </c>
      <c r="G15" s="252"/>
      <c r="H15" s="252"/>
      <c r="I15" s="252"/>
      <c r="J15" s="252"/>
      <c r="K15" s="253">
        <v>20</v>
      </c>
      <c r="L15" s="253"/>
      <c r="M15" s="254"/>
      <c r="N15" s="255"/>
    </row>
    <row r="16" spans="1:14" ht="31.5" customHeight="1" x14ac:dyDescent="0.3">
      <c r="A16" s="292" t="s">
        <v>266</v>
      </c>
      <c r="B16" s="271"/>
      <c r="C16" s="271"/>
      <c r="D16" s="271"/>
      <c r="E16" s="271"/>
      <c r="F16" s="252" t="s">
        <v>126</v>
      </c>
      <c r="G16" s="252"/>
      <c r="H16" s="252"/>
      <c r="I16" s="252"/>
      <c r="J16" s="252"/>
      <c r="K16" s="253">
        <v>2.5</v>
      </c>
      <c r="L16" s="253"/>
      <c r="M16" s="254"/>
      <c r="N16" s="255"/>
    </row>
    <row r="17" spans="1:14" ht="31.5" customHeight="1" x14ac:dyDescent="0.3">
      <c r="A17" s="292"/>
      <c r="B17" s="271"/>
      <c r="C17" s="271"/>
      <c r="D17" s="271"/>
      <c r="E17" s="271"/>
      <c r="F17" s="252" t="s">
        <v>127</v>
      </c>
      <c r="G17" s="252"/>
      <c r="H17" s="252"/>
      <c r="I17" s="252"/>
      <c r="J17" s="252"/>
      <c r="K17" s="253">
        <v>2.5</v>
      </c>
      <c r="L17" s="253"/>
      <c r="M17" s="254"/>
      <c r="N17" s="255"/>
    </row>
    <row r="18" spans="1:14" ht="31.5" customHeight="1" x14ac:dyDescent="0.3">
      <c r="A18" s="292"/>
      <c r="B18" s="271"/>
      <c r="C18" s="271"/>
      <c r="D18" s="271"/>
      <c r="E18" s="271"/>
      <c r="F18" s="252" t="s">
        <v>128</v>
      </c>
      <c r="G18" s="252"/>
      <c r="H18" s="252"/>
      <c r="I18" s="252"/>
      <c r="J18" s="252"/>
      <c r="K18" s="253">
        <v>2.5</v>
      </c>
      <c r="L18" s="253"/>
      <c r="M18" s="254"/>
      <c r="N18" s="255"/>
    </row>
    <row r="19" spans="1:14" ht="31.5" customHeight="1" x14ac:dyDescent="0.3">
      <c r="A19" s="292"/>
      <c r="B19" s="271"/>
      <c r="C19" s="271"/>
      <c r="D19" s="271"/>
      <c r="E19" s="271"/>
      <c r="F19" s="252" t="s">
        <v>129</v>
      </c>
      <c r="G19" s="252"/>
      <c r="H19" s="252"/>
      <c r="I19" s="252"/>
      <c r="J19" s="252"/>
      <c r="K19" s="253">
        <v>2.5</v>
      </c>
      <c r="L19" s="253"/>
      <c r="M19" s="254"/>
      <c r="N19" s="255"/>
    </row>
    <row r="20" spans="1:14" ht="31.5" customHeight="1" x14ac:dyDescent="0.3">
      <c r="A20" s="292" t="s">
        <v>267</v>
      </c>
      <c r="B20" s="271"/>
      <c r="C20" s="271"/>
      <c r="D20" s="271"/>
      <c r="E20" s="271"/>
      <c r="F20" s="252" t="s">
        <v>264</v>
      </c>
      <c r="G20" s="252"/>
      <c r="H20" s="252"/>
      <c r="I20" s="252"/>
      <c r="J20" s="252"/>
      <c r="K20" s="253">
        <v>2.5</v>
      </c>
      <c r="L20" s="253"/>
      <c r="M20" s="254"/>
      <c r="N20" s="255"/>
    </row>
    <row r="21" spans="1:14" ht="31.5" customHeight="1" x14ac:dyDescent="0.3">
      <c r="A21" s="292"/>
      <c r="B21" s="271"/>
      <c r="C21" s="271"/>
      <c r="D21" s="271"/>
      <c r="E21" s="271"/>
      <c r="F21" s="252" t="s">
        <v>130</v>
      </c>
      <c r="G21" s="252"/>
      <c r="H21" s="252"/>
      <c r="I21" s="252"/>
      <c r="J21" s="252"/>
      <c r="K21" s="253">
        <v>2.5</v>
      </c>
      <c r="L21" s="253"/>
      <c r="M21" s="254"/>
      <c r="N21" s="255"/>
    </row>
    <row r="22" spans="1:14" ht="31.5" customHeight="1" x14ac:dyDescent="0.3">
      <c r="A22" s="292"/>
      <c r="B22" s="271"/>
      <c r="C22" s="271"/>
      <c r="D22" s="271"/>
      <c r="E22" s="271"/>
      <c r="F22" s="252" t="s">
        <v>131</v>
      </c>
      <c r="G22" s="252"/>
      <c r="H22" s="252"/>
      <c r="I22" s="252"/>
      <c r="J22" s="252"/>
      <c r="K22" s="253">
        <v>2.5</v>
      </c>
      <c r="L22" s="253"/>
      <c r="M22" s="254"/>
      <c r="N22" s="255"/>
    </row>
    <row r="23" spans="1:14" ht="31.5" customHeight="1" x14ac:dyDescent="0.3">
      <c r="A23" s="292"/>
      <c r="B23" s="271"/>
      <c r="C23" s="271"/>
      <c r="D23" s="271"/>
      <c r="E23" s="271"/>
      <c r="F23" s="252" t="s">
        <v>132</v>
      </c>
      <c r="G23" s="252"/>
      <c r="H23" s="252"/>
      <c r="I23" s="252"/>
      <c r="J23" s="252"/>
      <c r="K23" s="253">
        <v>2.5</v>
      </c>
      <c r="L23" s="253"/>
      <c r="M23" s="254"/>
      <c r="N23" s="255"/>
    </row>
    <row r="24" spans="1:14" ht="31.5" customHeight="1" x14ac:dyDescent="0.3">
      <c r="A24" s="247" t="s">
        <v>270</v>
      </c>
      <c r="B24" s="271"/>
      <c r="C24" s="271"/>
      <c r="D24" s="271"/>
      <c r="E24" s="271"/>
      <c r="F24" s="252" t="s">
        <v>269</v>
      </c>
      <c r="G24" s="252"/>
      <c r="H24" s="252"/>
      <c r="I24" s="252"/>
      <c r="J24" s="252"/>
      <c r="K24" s="256" t="s">
        <v>272</v>
      </c>
      <c r="L24" s="257"/>
      <c r="M24" s="260"/>
      <c r="N24" s="261"/>
    </row>
    <row r="25" spans="1:14" ht="31.5" customHeight="1" x14ac:dyDescent="0.3">
      <c r="A25" s="292"/>
      <c r="B25" s="271"/>
      <c r="C25" s="271"/>
      <c r="D25" s="271"/>
      <c r="E25" s="271"/>
      <c r="F25" s="252" t="s">
        <v>271</v>
      </c>
      <c r="G25" s="252"/>
      <c r="H25" s="252"/>
      <c r="I25" s="252"/>
      <c r="J25" s="252"/>
      <c r="K25" s="258"/>
      <c r="L25" s="259"/>
      <c r="M25" s="262"/>
      <c r="N25" s="263"/>
    </row>
    <row r="26" spans="1:14" ht="31.5" customHeight="1" x14ac:dyDescent="0.3">
      <c r="A26" s="292" t="s">
        <v>273</v>
      </c>
      <c r="B26" s="271"/>
      <c r="C26" s="271"/>
      <c r="D26" s="271"/>
      <c r="E26" s="271"/>
      <c r="F26" s="252" t="s">
        <v>133</v>
      </c>
      <c r="G26" s="252"/>
      <c r="H26" s="252"/>
      <c r="I26" s="252"/>
      <c r="J26" s="252"/>
      <c r="K26" s="253">
        <v>1</v>
      </c>
      <c r="L26" s="253"/>
      <c r="M26" s="254"/>
      <c r="N26" s="255"/>
    </row>
    <row r="27" spans="1:14" ht="31.5" customHeight="1" x14ac:dyDescent="0.3">
      <c r="A27" s="292"/>
      <c r="B27" s="271"/>
      <c r="C27" s="271"/>
      <c r="D27" s="271"/>
      <c r="E27" s="271"/>
      <c r="F27" s="252" t="s">
        <v>134</v>
      </c>
      <c r="G27" s="252"/>
      <c r="H27" s="252"/>
      <c r="I27" s="252"/>
      <c r="J27" s="252"/>
      <c r="K27" s="253">
        <v>1</v>
      </c>
      <c r="L27" s="253"/>
      <c r="M27" s="254"/>
      <c r="N27" s="255"/>
    </row>
    <row r="28" spans="1:14" ht="31.5" customHeight="1" x14ac:dyDescent="0.3">
      <c r="A28" s="292"/>
      <c r="B28" s="271"/>
      <c r="C28" s="271"/>
      <c r="D28" s="271"/>
      <c r="E28" s="271"/>
      <c r="F28" s="252" t="s">
        <v>135</v>
      </c>
      <c r="G28" s="252"/>
      <c r="H28" s="252"/>
      <c r="I28" s="252"/>
      <c r="J28" s="252"/>
      <c r="K28" s="253">
        <v>1</v>
      </c>
      <c r="L28" s="253"/>
      <c r="M28" s="254"/>
      <c r="N28" s="255"/>
    </row>
    <row r="29" spans="1:14" ht="31.5" customHeight="1" x14ac:dyDescent="0.3">
      <c r="A29" s="292"/>
      <c r="B29" s="271"/>
      <c r="C29" s="271"/>
      <c r="D29" s="271"/>
      <c r="E29" s="271"/>
      <c r="F29" s="252" t="s">
        <v>136</v>
      </c>
      <c r="G29" s="252"/>
      <c r="H29" s="252"/>
      <c r="I29" s="252"/>
      <c r="J29" s="252"/>
      <c r="K29" s="253">
        <v>2</v>
      </c>
      <c r="L29" s="253"/>
      <c r="M29" s="254"/>
      <c r="N29" s="255"/>
    </row>
    <row r="30" spans="1:14" ht="31.5" customHeight="1" x14ac:dyDescent="0.3">
      <c r="A30" s="274" t="s">
        <v>274</v>
      </c>
      <c r="B30" s="275"/>
      <c r="C30" s="275"/>
      <c r="D30" s="275"/>
      <c r="E30" s="276"/>
      <c r="F30" s="252" t="s">
        <v>275</v>
      </c>
      <c r="G30" s="252"/>
      <c r="H30" s="252"/>
      <c r="I30" s="252"/>
      <c r="J30" s="252"/>
      <c r="K30" s="256" t="s">
        <v>277</v>
      </c>
      <c r="L30" s="257"/>
      <c r="M30" s="260"/>
      <c r="N30" s="261"/>
    </row>
    <row r="31" spans="1:14" ht="31.5" customHeight="1" x14ac:dyDescent="0.3">
      <c r="A31" s="277"/>
      <c r="B31" s="278"/>
      <c r="C31" s="278"/>
      <c r="D31" s="278"/>
      <c r="E31" s="279"/>
      <c r="F31" s="268" t="s">
        <v>276</v>
      </c>
      <c r="G31" s="269"/>
      <c r="H31" s="269"/>
      <c r="I31" s="269"/>
      <c r="J31" s="280"/>
      <c r="K31" s="258"/>
      <c r="L31" s="259"/>
      <c r="M31" s="262"/>
      <c r="N31" s="263"/>
    </row>
    <row r="32" spans="1:14" ht="31.5" customHeight="1" x14ac:dyDescent="0.3">
      <c r="A32" s="247" t="s">
        <v>278</v>
      </c>
      <c r="B32" s="248"/>
      <c r="C32" s="248"/>
      <c r="D32" s="248"/>
      <c r="E32" s="248"/>
      <c r="F32" s="252" t="s">
        <v>179</v>
      </c>
      <c r="G32" s="252"/>
      <c r="H32" s="252"/>
      <c r="I32" s="252"/>
      <c r="J32" s="252"/>
      <c r="K32" s="253">
        <v>10</v>
      </c>
      <c r="L32" s="253"/>
      <c r="M32" s="254"/>
      <c r="N32" s="255"/>
    </row>
    <row r="33" spans="1:14" ht="31.5" customHeight="1" x14ac:dyDescent="0.3">
      <c r="A33" s="247"/>
      <c r="B33" s="248"/>
      <c r="C33" s="248"/>
      <c r="D33" s="248"/>
      <c r="E33" s="248"/>
      <c r="F33" s="252" t="s">
        <v>279</v>
      </c>
      <c r="G33" s="252"/>
      <c r="H33" s="252"/>
      <c r="I33" s="252"/>
      <c r="J33" s="252"/>
      <c r="K33" s="253">
        <v>1</v>
      </c>
      <c r="L33" s="253"/>
      <c r="M33" s="254"/>
      <c r="N33" s="255"/>
    </row>
    <row r="34" spans="1:14" ht="31.5" customHeight="1" x14ac:dyDescent="0.3">
      <c r="A34" s="247"/>
      <c r="B34" s="248"/>
      <c r="C34" s="248"/>
      <c r="D34" s="248"/>
      <c r="E34" s="248"/>
      <c r="F34" s="252" t="s">
        <v>280</v>
      </c>
      <c r="G34" s="252"/>
      <c r="H34" s="252"/>
      <c r="I34" s="252"/>
      <c r="J34" s="252"/>
      <c r="K34" s="253">
        <v>1</v>
      </c>
      <c r="L34" s="253"/>
      <c r="M34" s="254"/>
      <c r="N34" s="255"/>
    </row>
    <row r="35" spans="1:14" ht="31.5" customHeight="1" x14ac:dyDescent="0.3">
      <c r="A35" s="247"/>
      <c r="B35" s="248"/>
      <c r="C35" s="248"/>
      <c r="D35" s="248"/>
      <c r="E35" s="248"/>
      <c r="F35" s="252" t="s">
        <v>281</v>
      </c>
      <c r="G35" s="252"/>
      <c r="H35" s="252"/>
      <c r="I35" s="252"/>
      <c r="J35" s="252"/>
      <c r="K35" s="253">
        <v>1</v>
      </c>
      <c r="L35" s="253"/>
      <c r="M35" s="254"/>
      <c r="N35" s="255"/>
    </row>
    <row r="36" spans="1:14" ht="31.5" customHeight="1" x14ac:dyDescent="0.3">
      <c r="A36" s="247"/>
      <c r="B36" s="248"/>
      <c r="C36" s="248"/>
      <c r="D36" s="248"/>
      <c r="E36" s="248"/>
      <c r="F36" s="252" t="s">
        <v>282</v>
      </c>
      <c r="G36" s="252"/>
      <c r="H36" s="252"/>
      <c r="I36" s="252"/>
      <c r="J36" s="252"/>
      <c r="K36" s="253">
        <v>1</v>
      </c>
      <c r="L36" s="253"/>
      <c r="M36" s="254"/>
      <c r="N36" s="255"/>
    </row>
    <row r="37" spans="1:14" ht="31.5" customHeight="1" x14ac:dyDescent="0.3">
      <c r="A37" s="247"/>
      <c r="B37" s="248"/>
      <c r="C37" s="248"/>
      <c r="D37" s="248"/>
      <c r="E37" s="248"/>
      <c r="F37" s="252" t="s">
        <v>283</v>
      </c>
      <c r="G37" s="252"/>
      <c r="H37" s="252"/>
      <c r="I37" s="252"/>
      <c r="J37" s="252"/>
      <c r="K37" s="253">
        <v>1</v>
      </c>
      <c r="L37" s="253"/>
      <c r="M37" s="254"/>
      <c r="N37" s="255"/>
    </row>
    <row r="38" spans="1:14" ht="31.5" customHeight="1" x14ac:dyDescent="0.3">
      <c r="A38" s="249" t="s">
        <v>246</v>
      </c>
      <c r="B38" s="250"/>
      <c r="C38" s="250"/>
      <c r="D38" s="250"/>
      <c r="E38" s="250"/>
      <c r="F38" s="251" t="s">
        <v>285</v>
      </c>
      <c r="G38" s="251"/>
      <c r="H38" s="251"/>
      <c r="I38" s="251"/>
      <c r="J38" s="251"/>
      <c r="K38" s="246">
        <v>2</v>
      </c>
      <c r="L38" s="246"/>
      <c r="M38" s="244" t="e">
        <f>VLOOKUP($B$1,'개별 접수내역 및 서류심사'!$A$3:$BH$174,50,0)</f>
        <v>#N/A</v>
      </c>
      <c r="N38" s="245"/>
    </row>
    <row r="39" spans="1:14" ht="31.5" customHeight="1" x14ac:dyDescent="0.3">
      <c r="A39" s="249" t="s">
        <v>284</v>
      </c>
      <c r="B39" s="250"/>
      <c r="C39" s="250"/>
      <c r="D39" s="250"/>
      <c r="E39" s="250"/>
      <c r="F39" s="251" t="s">
        <v>286</v>
      </c>
      <c r="G39" s="251"/>
      <c r="H39" s="251"/>
      <c r="I39" s="251"/>
      <c r="J39" s="251"/>
      <c r="K39" s="246">
        <v>3</v>
      </c>
      <c r="L39" s="246"/>
      <c r="M39" s="244" t="e">
        <f>VLOOKUP($B$1,'개별 접수내역 및 서류심사'!$A$3:$BH$174,51,0)</f>
        <v>#N/A</v>
      </c>
      <c r="N39" s="245"/>
    </row>
    <row r="40" spans="1:14" ht="69" customHeight="1" x14ac:dyDescent="0.3">
      <c r="A40" s="52" t="s">
        <v>287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6.5" customHeight="1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6.5" customHeight="1" x14ac:dyDescent="0.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6.5" customHeight="1" x14ac:dyDescent="0.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6.5" customHeight="1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</sheetData>
  <mergeCells count="112">
    <mergeCell ref="M29:N29"/>
    <mergeCell ref="F32:J32"/>
    <mergeCell ref="K32:L32"/>
    <mergeCell ref="M32:N32"/>
    <mergeCell ref="M30:N31"/>
    <mergeCell ref="A20:E23"/>
    <mergeCell ref="A24:E25"/>
    <mergeCell ref="A26:E29"/>
    <mergeCell ref="F35:J35"/>
    <mergeCell ref="K35:L35"/>
    <mergeCell ref="M14:N14"/>
    <mergeCell ref="A13:E13"/>
    <mergeCell ref="A16:E19"/>
    <mergeCell ref="B5:F5"/>
    <mergeCell ref="H5:J5"/>
    <mergeCell ref="J9:N9"/>
    <mergeCell ref="B9:G9"/>
    <mergeCell ref="J11:N11"/>
    <mergeCell ref="F18:J18"/>
    <mergeCell ref="K18:L18"/>
    <mergeCell ref="B6:G6"/>
    <mergeCell ref="B7:G7"/>
    <mergeCell ref="B8:G8"/>
    <mergeCell ref="H6:I6"/>
    <mergeCell ref="F17:J17"/>
    <mergeCell ref="F16:J16"/>
    <mergeCell ref="A14:E15"/>
    <mergeCell ref="F15:J15"/>
    <mergeCell ref="A2:N2"/>
    <mergeCell ref="B3:D3"/>
    <mergeCell ref="F3:G3"/>
    <mergeCell ref="I3:J3"/>
    <mergeCell ref="L3:N3"/>
    <mergeCell ref="K16:L16"/>
    <mergeCell ref="M16:N16"/>
    <mergeCell ref="K17:L17"/>
    <mergeCell ref="M17:N17"/>
    <mergeCell ref="B4:J4"/>
    <mergeCell ref="L5:N5"/>
    <mergeCell ref="M13:N13"/>
    <mergeCell ref="K13:L13"/>
    <mergeCell ref="K14:L14"/>
    <mergeCell ref="F13:J13"/>
    <mergeCell ref="F14:J14"/>
    <mergeCell ref="L4:N4"/>
    <mergeCell ref="F25:J25"/>
    <mergeCell ref="M36:N36"/>
    <mergeCell ref="M35:N35"/>
    <mergeCell ref="F28:J28"/>
    <mergeCell ref="K28:L28"/>
    <mergeCell ref="M28:N28"/>
    <mergeCell ref="F29:J29"/>
    <mergeCell ref="K29:L29"/>
    <mergeCell ref="B10:G10"/>
    <mergeCell ref="J10:N10"/>
    <mergeCell ref="B11:G11"/>
    <mergeCell ref="K12:N12"/>
    <mergeCell ref="F23:J23"/>
    <mergeCell ref="K23:L23"/>
    <mergeCell ref="M23:N23"/>
    <mergeCell ref="J6:N6"/>
    <mergeCell ref="J7:N7"/>
    <mergeCell ref="J8:N8"/>
    <mergeCell ref="F30:J30"/>
    <mergeCell ref="A30:E31"/>
    <mergeCell ref="F31:J31"/>
    <mergeCell ref="K30:L31"/>
    <mergeCell ref="A12:J12"/>
    <mergeCell ref="M15:N15"/>
    <mergeCell ref="F21:J21"/>
    <mergeCell ref="K21:L21"/>
    <mergeCell ref="M21:N21"/>
    <mergeCell ref="K24:L25"/>
    <mergeCell ref="M24:N25"/>
    <mergeCell ref="F27:J27"/>
    <mergeCell ref="K27:L27"/>
    <mergeCell ref="M27:N27"/>
    <mergeCell ref="M18:N18"/>
    <mergeCell ref="K19:L19"/>
    <mergeCell ref="M19:N19"/>
    <mergeCell ref="K20:L20"/>
    <mergeCell ref="M20:N20"/>
    <mergeCell ref="K22:L22"/>
    <mergeCell ref="M22:N22"/>
    <mergeCell ref="F22:J22"/>
    <mergeCell ref="F20:J20"/>
    <mergeCell ref="F19:J19"/>
    <mergeCell ref="K15:L15"/>
    <mergeCell ref="F24:J24"/>
    <mergeCell ref="F26:J26"/>
    <mergeCell ref="K26:L26"/>
    <mergeCell ref="M26:N26"/>
    <mergeCell ref="M39:N39"/>
    <mergeCell ref="K39:L39"/>
    <mergeCell ref="M38:N38"/>
    <mergeCell ref="K38:L38"/>
    <mergeCell ref="A32:E37"/>
    <mergeCell ref="A39:E39"/>
    <mergeCell ref="A38:E38"/>
    <mergeCell ref="F38:J38"/>
    <mergeCell ref="F39:J39"/>
    <mergeCell ref="F34:J34"/>
    <mergeCell ref="K34:L34"/>
    <mergeCell ref="M34:N34"/>
    <mergeCell ref="F33:J33"/>
    <mergeCell ref="K33:L33"/>
    <mergeCell ref="M33:N33"/>
    <mergeCell ref="M37:N37"/>
    <mergeCell ref="F36:J36"/>
    <mergeCell ref="K36:L36"/>
    <mergeCell ref="F37:J37"/>
    <mergeCell ref="K37:L37"/>
  </mergeCells>
  <phoneticPr fontId="2" type="noConversion"/>
  <pageMargins left="0.28000000000000003" right="0.25" top="0.42" bottom="0.38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workbookViewId="0">
      <pane xSplit="2" ySplit="4" topLeftCell="Y5" activePane="bottomRight" state="frozen"/>
      <selection activeCell="A24" sqref="A24:N27"/>
      <selection pane="topRight" activeCell="A24" sqref="A24:N27"/>
      <selection pane="bottomLeft" activeCell="A24" sqref="A24:N27"/>
      <selection pane="bottomRight" activeCell="A24" sqref="A24:N27"/>
    </sheetView>
  </sheetViews>
  <sheetFormatPr defaultRowHeight="16.5" x14ac:dyDescent="0.3"/>
  <cols>
    <col min="1" max="1" width="9.25" bestFit="1" customWidth="1"/>
    <col min="2" max="3" width="7.375" bestFit="1" customWidth="1"/>
    <col min="4" max="4" width="6" bestFit="1" customWidth="1"/>
    <col min="5" max="6" width="7.375" bestFit="1" customWidth="1"/>
    <col min="7" max="8" width="9.25" bestFit="1" customWidth="1"/>
    <col min="9" max="9" width="5.5" bestFit="1" customWidth="1"/>
    <col min="10" max="10" width="9.25" bestFit="1" customWidth="1"/>
    <col min="11" max="11" width="6.625" customWidth="1"/>
    <col min="12" max="12" width="10.125" bestFit="1" customWidth="1"/>
    <col min="13" max="13" width="5.5" bestFit="1" customWidth="1"/>
    <col min="14" max="14" width="18.5" bestFit="1" customWidth="1"/>
    <col min="15" max="15" width="17.125" bestFit="1" customWidth="1"/>
    <col min="16" max="17" width="15.125" bestFit="1" customWidth="1"/>
    <col min="18" max="18" width="17.125" bestFit="1" customWidth="1"/>
    <col min="19" max="19" width="11.75" bestFit="1" customWidth="1"/>
    <col min="20" max="20" width="12.5" bestFit="1" customWidth="1"/>
    <col min="21" max="21" width="5.5" bestFit="1" customWidth="1"/>
    <col min="22" max="22" width="18.5" bestFit="1" customWidth="1"/>
    <col min="23" max="23" width="17.125" bestFit="1" customWidth="1"/>
    <col min="24" max="24" width="9.75" bestFit="1" customWidth="1"/>
    <col min="25" max="25" width="5.5" bestFit="1" customWidth="1"/>
    <col min="26" max="27" width="9.25" bestFit="1" customWidth="1"/>
    <col min="28" max="28" width="15.125" bestFit="1" customWidth="1"/>
    <col min="29" max="29" width="5.5" bestFit="1" customWidth="1"/>
    <col min="30" max="30" width="9.25" bestFit="1" customWidth="1"/>
    <col min="31" max="32" width="5.5" bestFit="1" customWidth="1"/>
    <col min="33" max="33" width="17.125" bestFit="1" customWidth="1"/>
    <col min="34" max="34" width="11.75" bestFit="1" customWidth="1"/>
    <col min="35" max="38" width="11.75" customWidth="1"/>
    <col min="39" max="39" width="12.5" bestFit="1" customWidth="1"/>
    <col min="40" max="40" width="13" bestFit="1" customWidth="1"/>
    <col min="41" max="41" width="16.625" bestFit="1" customWidth="1"/>
    <col min="42" max="44" width="5.5" bestFit="1" customWidth="1"/>
    <col min="45" max="46" width="9.25" bestFit="1" customWidth="1"/>
    <col min="47" max="47" width="15.875" bestFit="1" customWidth="1"/>
    <col min="48" max="48" width="18" bestFit="1" customWidth="1"/>
    <col min="49" max="49" width="14.625" bestFit="1" customWidth="1"/>
    <col min="50" max="50" width="7.875" bestFit="1" customWidth="1"/>
    <col min="51" max="51" width="15.875" bestFit="1" customWidth="1"/>
  </cols>
  <sheetData>
    <row r="1" spans="1:51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</row>
    <row r="2" spans="1:51" x14ac:dyDescent="0.3">
      <c r="A2" s="55"/>
      <c r="B2" s="55"/>
      <c r="C2" s="55"/>
      <c r="D2" s="55"/>
      <c r="E2" s="55"/>
      <c r="F2" s="55"/>
      <c r="G2" s="55"/>
      <c r="H2" s="55"/>
      <c r="I2" s="298" t="s">
        <v>309</v>
      </c>
      <c r="J2" s="298"/>
      <c r="K2" s="297" t="s">
        <v>308</v>
      </c>
      <c r="L2" s="297"/>
      <c r="M2" s="4"/>
      <c r="N2" s="4" t="s">
        <v>299</v>
      </c>
      <c r="O2" s="4"/>
      <c r="P2" s="4"/>
      <c r="Q2" s="4"/>
      <c r="R2" s="4"/>
      <c r="S2" s="4"/>
      <c r="T2" s="4"/>
      <c r="U2" s="5"/>
      <c r="V2" s="5" t="s">
        <v>298</v>
      </c>
      <c r="W2" s="5"/>
      <c r="X2" s="62"/>
      <c r="Y2" s="62"/>
      <c r="Z2" s="62"/>
      <c r="AA2" s="62"/>
      <c r="AB2" s="5"/>
      <c r="AC2" s="62"/>
      <c r="AD2" s="62"/>
      <c r="AE2" s="62"/>
      <c r="AF2" s="62"/>
      <c r="AG2" s="72"/>
      <c r="AH2" s="5"/>
      <c r="AI2" s="62"/>
      <c r="AJ2" s="62"/>
      <c r="AK2" s="62"/>
      <c r="AL2" s="62"/>
      <c r="AM2" s="72"/>
      <c r="AN2" s="5"/>
      <c r="AO2" s="5"/>
      <c r="AP2" s="62"/>
      <c r="AQ2" s="62"/>
      <c r="AR2" s="62"/>
      <c r="AS2" s="62"/>
      <c r="AT2" s="62"/>
      <c r="AU2" s="5"/>
      <c r="AV2" s="5"/>
      <c r="AW2" s="299" t="s">
        <v>305</v>
      </c>
      <c r="AX2" s="300"/>
      <c r="AY2" s="301"/>
    </row>
    <row r="3" spans="1:51" s="54" customFormat="1" x14ac:dyDescent="0.3">
      <c r="A3" s="56" t="s">
        <v>28</v>
      </c>
      <c r="B3" s="56" t="s">
        <v>16</v>
      </c>
      <c r="C3" s="56" t="s">
        <v>290</v>
      </c>
      <c r="D3" s="56" t="s">
        <v>103</v>
      </c>
      <c r="E3" s="56" t="s">
        <v>289</v>
      </c>
      <c r="F3" s="56" t="s">
        <v>291</v>
      </c>
      <c r="G3" s="56" t="s">
        <v>292</v>
      </c>
      <c r="H3" s="56" t="s">
        <v>293</v>
      </c>
      <c r="I3" s="59" t="s">
        <v>310</v>
      </c>
      <c r="J3" s="59" t="s">
        <v>311</v>
      </c>
      <c r="K3" s="56" t="s">
        <v>295</v>
      </c>
      <c r="L3" s="56" t="s">
        <v>296</v>
      </c>
      <c r="M3" s="57" t="s">
        <v>297</v>
      </c>
      <c r="N3" s="57" t="s">
        <v>251</v>
      </c>
      <c r="O3" s="57" t="s">
        <v>253</v>
      </c>
      <c r="P3" s="57" t="s">
        <v>254</v>
      </c>
      <c r="Q3" s="57" t="s">
        <v>255</v>
      </c>
      <c r="R3" s="57" t="s">
        <v>256</v>
      </c>
      <c r="S3" s="57" t="s">
        <v>257</v>
      </c>
      <c r="T3" s="57" t="s">
        <v>294</v>
      </c>
      <c r="U3" s="58" t="s">
        <v>297</v>
      </c>
      <c r="V3" s="58" t="s">
        <v>251</v>
      </c>
      <c r="W3" s="58" t="s">
        <v>253</v>
      </c>
      <c r="X3" s="63" t="s">
        <v>151</v>
      </c>
      <c r="Y3" s="63" t="s">
        <v>152</v>
      </c>
      <c r="Z3" s="63" t="s">
        <v>153</v>
      </c>
      <c r="AA3" s="63" t="s">
        <v>154</v>
      </c>
      <c r="AB3" s="58" t="s">
        <v>254</v>
      </c>
      <c r="AC3" s="63" t="s">
        <v>314</v>
      </c>
      <c r="AD3" s="63" t="s">
        <v>158</v>
      </c>
      <c r="AE3" s="63" t="s">
        <v>315</v>
      </c>
      <c r="AF3" s="63" t="s">
        <v>316</v>
      </c>
      <c r="AG3" s="73" t="s">
        <v>256</v>
      </c>
      <c r="AH3" s="58" t="s">
        <v>257</v>
      </c>
      <c r="AI3" s="63" t="s">
        <v>151</v>
      </c>
      <c r="AJ3" s="63" t="s">
        <v>152</v>
      </c>
      <c r="AK3" s="63" t="s">
        <v>153</v>
      </c>
      <c r="AL3" s="63" t="s">
        <v>154</v>
      </c>
      <c r="AM3" s="73" t="s">
        <v>294</v>
      </c>
      <c r="AN3" s="58" t="s">
        <v>300</v>
      </c>
      <c r="AO3" s="58" t="s">
        <v>301</v>
      </c>
      <c r="AP3" s="63" t="s">
        <v>317</v>
      </c>
      <c r="AQ3" s="63" t="s">
        <v>318</v>
      </c>
      <c r="AR3" s="63" t="s">
        <v>319</v>
      </c>
      <c r="AS3" s="63" t="s">
        <v>320</v>
      </c>
      <c r="AT3" s="63" t="s">
        <v>321</v>
      </c>
      <c r="AU3" s="58" t="s">
        <v>302</v>
      </c>
      <c r="AV3" s="58" t="s">
        <v>303</v>
      </c>
      <c r="AW3" s="59" t="s">
        <v>304</v>
      </c>
      <c r="AX3" s="59" t="s">
        <v>306</v>
      </c>
      <c r="AY3" s="59" t="s">
        <v>307</v>
      </c>
    </row>
    <row r="4" spans="1:51" x14ac:dyDescent="0.3">
      <c r="A4" s="2"/>
      <c r="B4" s="2" t="e">
        <f>VLOOKUP($A4,'개별 접수내역 및 서류심사'!$A$3:$BH$174,2,0)</f>
        <v>#N/A</v>
      </c>
      <c r="C4" s="2" t="e">
        <f>VLOOKUP($A4,'개별 접수내역 및 서류심사'!$A$3:$BH$174,4,0)</f>
        <v>#N/A</v>
      </c>
      <c r="D4" s="2" t="e">
        <f>VLOOKUP($A4,'개별 접수내역 및 서류심사'!$A$3:$BH$174,6,0)</f>
        <v>#N/A</v>
      </c>
      <c r="E4" s="2" t="e">
        <f>VLOOKUP($A4,'개별 접수내역 및 서류심사'!$A$3:$BH$174,5,0)</f>
        <v>#N/A</v>
      </c>
      <c r="F4" s="2" t="e">
        <f>VLOOKUP($A4,'개별 접수내역 및 서류심사'!$A$3:$BH$174,8,0)</f>
        <v>#N/A</v>
      </c>
      <c r="G4" s="2" t="e">
        <f>VLOOKUP($A4,'개별 접수내역 및 서류심사'!$A$3:$BH$174,12,0)</f>
        <v>#N/A</v>
      </c>
      <c r="H4" s="71" t="e">
        <f>VLOOKUP($A4,'개별 접수내역 및 서류심사'!$A$3:$BH$174,9,0)</f>
        <v>#N/A</v>
      </c>
      <c r="I4" s="2" t="e">
        <f>RANK($J4,J4:$J$122,1)</f>
        <v>#N/A</v>
      </c>
      <c r="J4" s="2" t="e">
        <f>L4+AW4</f>
        <v>#N/A</v>
      </c>
      <c r="K4" s="2" t="e">
        <f>RANK($L4,$L$4:$L$309,0)</f>
        <v>#N/A</v>
      </c>
      <c r="L4" s="2" t="e">
        <f>M4+U4</f>
        <v>#N/A</v>
      </c>
      <c r="M4" s="2" t="e">
        <f>SUM(N4:T4)</f>
        <v>#N/A</v>
      </c>
      <c r="N4" s="2" t="e">
        <f>VLOOKUP($A4,'개별 접수내역 및 서류심사'!$A$3:$BH$174,41,0)</f>
        <v>#N/A</v>
      </c>
      <c r="O4" s="2" t="e">
        <f>VLOOKUP($A4,'개별 접수내역 및 서류심사'!$A$3:$BH$174,44,0)</f>
        <v>#N/A</v>
      </c>
      <c r="P4" s="2" t="e">
        <f>VLOOKUP($A4,'개별 접수내역 및 서류심사'!$A$3:$BH$174,45,0)</f>
        <v>#N/A</v>
      </c>
      <c r="Q4" s="2" t="e">
        <f>VLOOKUP($A4,'개별 접수내역 및 서류심사'!$A$3:$BH$174,46,0)</f>
        <v>#N/A</v>
      </c>
      <c r="R4" s="2" t="e">
        <f>VLOOKUP($A4,'개별 접수내역 및 서류심사'!$A$3:$BH$174,47,0)</f>
        <v>#N/A</v>
      </c>
      <c r="S4" s="2" t="e">
        <f>VLOOKUP($A4,'개별 접수내역 및 서류심사'!$A$3:$BH$174,48,0)</f>
        <v>#N/A</v>
      </c>
      <c r="T4" s="2" t="e">
        <f>VLOOKUP($A4,'개별 접수내역 및 서류심사'!$A$3:$BH$174,49,0)</f>
        <v>#N/A</v>
      </c>
      <c r="U4" s="2">
        <f>SUM(V4,W4,AB4,AG4:AH4,AM4,AN4)</f>
        <v>0</v>
      </c>
      <c r="V4" s="2"/>
      <c r="W4" s="2">
        <f>SUM(X4:AA4)</f>
        <v>0</v>
      </c>
      <c r="X4" s="2"/>
      <c r="Y4" s="2"/>
      <c r="Z4" s="2"/>
      <c r="AA4" s="2"/>
      <c r="AB4" s="2">
        <f>SUM(AC4:AF4)</f>
        <v>0</v>
      </c>
      <c r="AC4" s="2"/>
      <c r="AD4" s="2"/>
      <c r="AE4" s="2"/>
      <c r="AF4" s="2"/>
      <c r="AG4" s="2"/>
      <c r="AH4" s="2">
        <f>SUM(AI4:AL4)</f>
        <v>0</v>
      </c>
      <c r="AI4" s="2"/>
      <c r="AJ4" s="2"/>
      <c r="AK4" s="2"/>
      <c r="AL4" s="2"/>
      <c r="AM4" s="2"/>
      <c r="AN4" s="2"/>
      <c r="AO4" s="2">
        <f>SUM(AP4:AT4)</f>
        <v>0</v>
      </c>
      <c r="AP4" s="2"/>
      <c r="AQ4" s="2"/>
      <c r="AR4" s="2"/>
      <c r="AS4" s="2"/>
      <c r="AT4" s="2"/>
      <c r="AU4" s="2" t="e">
        <f>VLOOKUP($A4,'개별 접수내역 및 서류심사'!$A$3:$BH$174,50,0)</f>
        <v>#N/A</v>
      </c>
      <c r="AV4" s="2" t="e">
        <f>VLOOKUP($A4,'개별 접수내역 및 서류심사'!$A$3:$BH$174,51,0)</f>
        <v>#N/A</v>
      </c>
      <c r="AW4" s="2">
        <f>AX4+AY4</f>
        <v>0</v>
      </c>
      <c r="AX4" s="2"/>
      <c r="AY4" s="2"/>
    </row>
    <row r="5" spans="1:5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</sheetData>
  <mergeCells count="3">
    <mergeCell ref="K2:L2"/>
    <mergeCell ref="I2:J2"/>
    <mergeCell ref="AW2:AY2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topLeftCell="A13" zoomScale="85" zoomScaleNormal="100" zoomScaleSheetLayoutView="85" workbookViewId="0">
      <selection activeCell="A24" sqref="A24:N27"/>
    </sheetView>
  </sheetViews>
  <sheetFormatPr defaultRowHeight="16.5" x14ac:dyDescent="0.3"/>
  <cols>
    <col min="1" max="15" width="6.75" customWidth="1"/>
  </cols>
  <sheetData>
    <row r="1" spans="1:15" ht="15.75" customHeight="1" x14ac:dyDescent="0.3">
      <c r="A1" s="60" t="s">
        <v>102</v>
      </c>
      <c r="B1" s="61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7.5" customHeigh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1.75" customHeight="1" x14ac:dyDescent="0.3">
      <c r="A3" s="326" t="s">
        <v>16</v>
      </c>
      <c r="B3" s="326"/>
      <c r="C3" s="327" t="e">
        <f>VLOOKUP($B$1,'서류,현장심사 결과'!$A$3:$AY$200,2,0)</f>
        <v>#N/A</v>
      </c>
      <c r="D3" s="327"/>
      <c r="E3" s="327"/>
      <c r="F3" s="327"/>
      <c r="G3" s="327"/>
      <c r="H3" s="326" t="s">
        <v>43</v>
      </c>
      <c r="I3" s="326"/>
      <c r="J3" s="326"/>
      <c r="K3" s="328" t="e">
        <f>VLOOKUP($B$1,'서류,현장심사 결과'!$A$3:$AY$200,3,0)</f>
        <v>#N/A</v>
      </c>
      <c r="L3" s="328"/>
      <c r="M3" s="328"/>
      <c r="N3" s="328"/>
      <c r="O3" s="328"/>
    </row>
    <row r="4" spans="1:15" ht="21.75" customHeight="1" x14ac:dyDescent="0.3">
      <c r="A4" s="326" t="s">
        <v>103</v>
      </c>
      <c r="B4" s="326"/>
      <c r="C4" s="329" t="e">
        <f>VLOOKUP($B$1,'서류,현장심사 결과'!$A$3:$AY$200,4,0)</f>
        <v>#N/A</v>
      </c>
      <c r="D4" s="329"/>
      <c r="E4" s="329"/>
      <c r="F4" s="329"/>
      <c r="G4" s="329"/>
      <c r="H4" s="326" t="s">
        <v>143</v>
      </c>
      <c r="I4" s="326"/>
      <c r="J4" s="326"/>
      <c r="K4" s="329" t="e">
        <f>VLOOKUP($B$1,'서류,현장심사 결과'!$A$3:$AY$200,6,0)</f>
        <v>#N/A</v>
      </c>
      <c r="L4" s="329"/>
      <c r="M4" s="329"/>
      <c r="N4" s="329"/>
      <c r="O4" s="329"/>
    </row>
    <row r="5" spans="1:15" ht="21.75" customHeight="1" x14ac:dyDescent="0.3">
      <c r="A5" s="326" t="s">
        <v>104</v>
      </c>
      <c r="B5" s="326"/>
      <c r="C5" s="335" t="e">
        <f>VLOOKUP($B$1,'서류,현장심사 결과'!$A$3:$AY$200,5,0)</f>
        <v>#N/A</v>
      </c>
      <c r="D5" s="335"/>
      <c r="E5" s="335"/>
      <c r="F5" s="335"/>
      <c r="G5" s="335"/>
      <c r="H5" s="330" t="s">
        <v>313</v>
      </c>
      <c r="I5" s="330"/>
      <c r="J5" s="330"/>
      <c r="K5" s="332" t="e">
        <f>H9+N9+N34</f>
        <v>#N/A</v>
      </c>
      <c r="L5" s="332"/>
      <c r="M5" s="332"/>
      <c r="N5" s="332"/>
      <c r="O5" s="332"/>
    </row>
    <row r="6" spans="1:15" ht="5.25" customHeight="1" x14ac:dyDescent="0.3">
      <c r="A6" s="40"/>
      <c r="B6" s="40"/>
      <c r="C6" s="39"/>
      <c r="D6" s="39"/>
      <c r="E6" s="39"/>
      <c r="F6" s="39"/>
      <c r="G6" s="39"/>
      <c r="H6" s="40"/>
      <c r="I6" s="40"/>
      <c r="J6" s="40"/>
      <c r="K6" s="39"/>
      <c r="L6" s="39"/>
      <c r="M6" s="39"/>
      <c r="N6" s="39"/>
      <c r="O6" s="39"/>
    </row>
    <row r="7" spans="1:15" ht="18.95" customHeight="1" x14ac:dyDescent="0.3">
      <c r="A7" s="326" t="s">
        <v>141</v>
      </c>
      <c r="B7" s="326"/>
      <c r="C7" s="326"/>
      <c r="D7" s="326"/>
      <c r="E7" s="336"/>
      <c r="F7" s="350" t="s">
        <v>145</v>
      </c>
      <c r="G7" s="330"/>
      <c r="H7" s="330"/>
      <c r="I7" s="351"/>
      <c r="J7" s="353" t="s">
        <v>150</v>
      </c>
      <c r="K7" s="330"/>
      <c r="L7" s="330"/>
      <c r="M7" s="330"/>
      <c r="N7" s="330"/>
      <c r="O7" s="330"/>
    </row>
    <row r="8" spans="1:15" ht="18.95" customHeight="1" x14ac:dyDescent="0.3">
      <c r="A8" s="326"/>
      <c r="B8" s="326"/>
      <c r="C8" s="326"/>
      <c r="D8" s="326"/>
      <c r="E8" s="336"/>
      <c r="F8" s="331" t="s">
        <v>144</v>
      </c>
      <c r="G8" s="326"/>
      <c r="H8" s="326" t="s">
        <v>155</v>
      </c>
      <c r="I8" s="352"/>
      <c r="J8" s="334" t="s">
        <v>169</v>
      </c>
      <c r="K8" s="326"/>
      <c r="L8" s="326" t="s">
        <v>144</v>
      </c>
      <c r="M8" s="326"/>
      <c r="N8" s="326" t="s">
        <v>155</v>
      </c>
      <c r="O8" s="326"/>
    </row>
    <row r="9" spans="1:15" ht="18.95" customHeight="1" x14ac:dyDescent="0.3">
      <c r="A9" s="326" t="s">
        <v>172</v>
      </c>
      <c r="B9" s="326"/>
      <c r="C9" s="326"/>
      <c r="D9" s="326"/>
      <c r="E9" s="336"/>
      <c r="F9" s="331">
        <v>100</v>
      </c>
      <c r="G9" s="326"/>
      <c r="H9" s="332" t="e">
        <f>SUM(H11:I12,H14:I32)</f>
        <v>#N/A</v>
      </c>
      <c r="I9" s="333"/>
      <c r="J9" s="334"/>
      <c r="K9" s="326"/>
      <c r="L9" s="326">
        <v>100</v>
      </c>
      <c r="M9" s="326"/>
      <c r="N9" s="332" t="e">
        <f>SUM(N11:O12,N14:O32)</f>
        <v>#N/A</v>
      </c>
      <c r="O9" s="332"/>
    </row>
    <row r="10" spans="1:15" ht="18.95" customHeight="1" x14ac:dyDescent="0.3">
      <c r="A10" s="337" t="s">
        <v>140</v>
      </c>
      <c r="B10" s="337"/>
      <c r="C10" s="337"/>
      <c r="D10" s="337"/>
      <c r="E10" s="338"/>
      <c r="F10" s="339" t="s">
        <v>188</v>
      </c>
      <c r="G10" s="337"/>
      <c r="H10" s="341"/>
      <c r="I10" s="360"/>
      <c r="J10" s="349"/>
      <c r="K10" s="337"/>
      <c r="L10" s="355" t="s">
        <v>188</v>
      </c>
      <c r="M10" s="355"/>
      <c r="N10" s="354"/>
      <c r="O10" s="354"/>
    </row>
    <row r="11" spans="1:15" ht="18.95" customHeight="1" x14ac:dyDescent="0.3">
      <c r="A11" s="342"/>
      <c r="B11" s="329" t="s">
        <v>146</v>
      </c>
      <c r="C11" s="329"/>
      <c r="D11" s="329"/>
      <c r="E11" s="347"/>
      <c r="F11" s="340">
        <v>30</v>
      </c>
      <c r="G11" s="341"/>
      <c r="H11" s="329" t="e">
        <f>VLOOKUP($B$1,'개별 접수내역 및 서류심사'!$A$3:$BH$174,42,0)</f>
        <v>#N/A</v>
      </c>
      <c r="I11" s="348"/>
      <c r="J11" s="356" t="s">
        <v>174</v>
      </c>
      <c r="K11" s="357"/>
      <c r="L11" s="322">
        <v>50</v>
      </c>
      <c r="M11" s="323"/>
      <c r="N11" s="318" t="e">
        <f>VLOOKUP($B$1,'서류,현장심사 결과'!$A$3:$AY$200,22,0)</f>
        <v>#N/A</v>
      </c>
      <c r="O11" s="319"/>
    </row>
    <row r="12" spans="1:15" ht="18.95" customHeight="1" x14ac:dyDescent="0.3">
      <c r="A12" s="344"/>
      <c r="B12" s="329" t="s">
        <v>147</v>
      </c>
      <c r="C12" s="329"/>
      <c r="D12" s="329"/>
      <c r="E12" s="347"/>
      <c r="F12" s="340">
        <v>20</v>
      </c>
      <c r="G12" s="341"/>
      <c r="H12" s="329" t="e">
        <f>VLOOKUP($B$1,'개별 접수내역 및 서류심사'!$A$3:$BH$174,43,0)</f>
        <v>#N/A</v>
      </c>
      <c r="I12" s="348"/>
      <c r="J12" s="358"/>
      <c r="K12" s="359"/>
      <c r="L12" s="324"/>
      <c r="M12" s="325"/>
      <c r="N12" s="320"/>
      <c r="O12" s="321"/>
    </row>
    <row r="13" spans="1:15" ht="18.95" customHeight="1" x14ac:dyDescent="0.3">
      <c r="A13" s="337" t="s">
        <v>148</v>
      </c>
      <c r="B13" s="337"/>
      <c r="C13" s="337"/>
      <c r="D13" s="337"/>
      <c r="E13" s="338"/>
      <c r="F13" s="339" t="s">
        <v>188</v>
      </c>
      <c r="G13" s="337"/>
      <c r="H13" s="341"/>
      <c r="I13" s="360"/>
      <c r="J13" s="349"/>
      <c r="K13" s="337"/>
      <c r="L13" s="355" t="s">
        <v>188</v>
      </c>
      <c r="M13" s="355"/>
      <c r="N13" s="354"/>
      <c r="O13" s="354"/>
    </row>
    <row r="14" spans="1:15" ht="18.95" customHeight="1" x14ac:dyDescent="0.3">
      <c r="A14" s="342"/>
      <c r="B14" s="329" t="s">
        <v>149</v>
      </c>
      <c r="C14" s="329"/>
      <c r="D14" s="329"/>
      <c r="E14" s="347"/>
      <c r="F14" s="340">
        <v>10</v>
      </c>
      <c r="G14" s="341"/>
      <c r="H14" s="329" t="e">
        <f>VLOOKUP($B$1,'서류,현장심사 결과'!$A$3:$AY$200,15,0)</f>
        <v>#N/A</v>
      </c>
      <c r="I14" s="348"/>
      <c r="J14" s="366" t="s">
        <v>151</v>
      </c>
      <c r="K14" s="329"/>
      <c r="L14" s="354">
        <v>2.5</v>
      </c>
      <c r="M14" s="354"/>
      <c r="N14" s="335" t="e">
        <f>VLOOKUP($B$1,'서류,현장심사 결과'!$A$3:$AY$200,24,0)</f>
        <v>#N/A</v>
      </c>
      <c r="O14" s="335"/>
    </row>
    <row r="15" spans="1:15" ht="18.95" customHeight="1" x14ac:dyDescent="0.3">
      <c r="A15" s="343"/>
      <c r="B15" s="329"/>
      <c r="C15" s="329"/>
      <c r="D15" s="329"/>
      <c r="E15" s="347"/>
      <c r="F15" s="340"/>
      <c r="G15" s="341"/>
      <c r="H15" s="329"/>
      <c r="I15" s="348"/>
      <c r="J15" s="365" t="s">
        <v>152</v>
      </c>
      <c r="K15" s="335"/>
      <c r="L15" s="354">
        <v>2.5</v>
      </c>
      <c r="M15" s="354"/>
      <c r="N15" s="335" t="e">
        <f>VLOOKUP($B$1,'서류,현장심사 결과'!$A$3:$AY$200,25,0)</f>
        <v>#N/A</v>
      </c>
      <c r="O15" s="335"/>
    </row>
    <row r="16" spans="1:15" ht="18.95" customHeight="1" x14ac:dyDescent="0.3">
      <c r="A16" s="343"/>
      <c r="B16" s="329"/>
      <c r="C16" s="329"/>
      <c r="D16" s="329"/>
      <c r="E16" s="347"/>
      <c r="F16" s="340"/>
      <c r="G16" s="341"/>
      <c r="H16" s="329"/>
      <c r="I16" s="348"/>
      <c r="J16" s="365" t="s">
        <v>153</v>
      </c>
      <c r="K16" s="335"/>
      <c r="L16" s="354">
        <v>2.5</v>
      </c>
      <c r="M16" s="354"/>
      <c r="N16" s="335" t="e">
        <f>VLOOKUP($B$1,'서류,현장심사 결과'!$A$3:$AY$200,26,0)</f>
        <v>#N/A</v>
      </c>
      <c r="O16" s="335"/>
    </row>
    <row r="17" spans="1:15" ht="18.95" customHeight="1" x14ac:dyDescent="0.3">
      <c r="A17" s="343"/>
      <c r="B17" s="329"/>
      <c r="C17" s="329"/>
      <c r="D17" s="329"/>
      <c r="E17" s="347"/>
      <c r="F17" s="340"/>
      <c r="G17" s="341"/>
      <c r="H17" s="329"/>
      <c r="I17" s="348"/>
      <c r="J17" s="365" t="s">
        <v>154</v>
      </c>
      <c r="K17" s="335"/>
      <c r="L17" s="354">
        <v>2.5</v>
      </c>
      <c r="M17" s="354"/>
      <c r="N17" s="335" t="e">
        <f>VLOOKUP($B$1,'서류,현장심사 결과'!$A$3:$AY$200,27,0)</f>
        <v>#N/A</v>
      </c>
      <c r="O17" s="335"/>
    </row>
    <row r="18" spans="1:15" ht="18.95" customHeight="1" x14ac:dyDescent="0.3">
      <c r="A18" s="343"/>
      <c r="B18" s="329" t="s">
        <v>156</v>
      </c>
      <c r="C18" s="329"/>
      <c r="D18" s="329"/>
      <c r="E18" s="347"/>
      <c r="F18" s="340">
        <v>10</v>
      </c>
      <c r="G18" s="341"/>
      <c r="H18" s="329" t="e">
        <f>VLOOKUP($B$1,'서류,현장심사 결과'!$A$3:$AY$200,16,0)</f>
        <v>#N/A</v>
      </c>
      <c r="I18" s="348"/>
      <c r="J18" s="365" t="s">
        <v>157</v>
      </c>
      <c r="K18" s="335"/>
      <c r="L18" s="354">
        <v>2.5</v>
      </c>
      <c r="M18" s="354"/>
      <c r="N18" s="335" t="e">
        <f>VLOOKUP($B$1,'서류,현장심사 결과'!$A$3:$AY$200,29,0)</f>
        <v>#N/A</v>
      </c>
      <c r="O18" s="335"/>
    </row>
    <row r="19" spans="1:15" ht="18.95" customHeight="1" x14ac:dyDescent="0.3">
      <c r="A19" s="343"/>
      <c r="B19" s="329"/>
      <c r="C19" s="329"/>
      <c r="D19" s="329"/>
      <c r="E19" s="347"/>
      <c r="F19" s="340"/>
      <c r="G19" s="341"/>
      <c r="H19" s="329"/>
      <c r="I19" s="348"/>
      <c r="J19" s="365" t="s">
        <v>158</v>
      </c>
      <c r="K19" s="335"/>
      <c r="L19" s="354">
        <v>2.5</v>
      </c>
      <c r="M19" s="354"/>
      <c r="N19" s="335" t="e">
        <f>VLOOKUP($B$1,'서류,현장심사 결과'!$A$3:$AY$200,30,0)</f>
        <v>#N/A</v>
      </c>
      <c r="O19" s="335"/>
    </row>
    <row r="20" spans="1:15" ht="18.95" customHeight="1" x14ac:dyDescent="0.3">
      <c r="A20" s="343"/>
      <c r="B20" s="329"/>
      <c r="C20" s="329"/>
      <c r="D20" s="329"/>
      <c r="E20" s="347"/>
      <c r="F20" s="340"/>
      <c r="G20" s="341"/>
      <c r="H20" s="329"/>
      <c r="I20" s="348"/>
      <c r="J20" s="365" t="s">
        <v>159</v>
      </c>
      <c r="K20" s="335"/>
      <c r="L20" s="354">
        <v>2.5</v>
      </c>
      <c r="M20" s="354"/>
      <c r="N20" s="335" t="e">
        <f>VLOOKUP($B$1,'서류,현장심사 결과'!$A$3:$AY$200,31,0)</f>
        <v>#N/A</v>
      </c>
      <c r="O20" s="335"/>
    </row>
    <row r="21" spans="1:15" ht="18.95" customHeight="1" x14ac:dyDescent="0.3">
      <c r="A21" s="343"/>
      <c r="B21" s="329"/>
      <c r="C21" s="329"/>
      <c r="D21" s="329"/>
      <c r="E21" s="347"/>
      <c r="F21" s="340"/>
      <c r="G21" s="341"/>
      <c r="H21" s="329"/>
      <c r="I21" s="348"/>
      <c r="J21" s="365" t="s">
        <v>160</v>
      </c>
      <c r="K21" s="335"/>
      <c r="L21" s="354">
        <v>2.5</v>
      </c>
      <c r="M21" s="354"/>
      <c r="N21" s="335" t="e">
        <f>VLOOKUP($B$1,'서류,현장심사 결과'!$A$3:$AY$200,32,0)</f>
        <v>#N/A</v>
      </c>
      <c r="O21" s="335"/>
    </row>
    <row r="22" spans="1:15" ht="18.95" customHeight="1" x14ac:dyDescent="0.3">
      <c r="A22" s="343"/>
      <c r="B22" s="335" t="s">
        <v>161</v>
      </c>
      <c r="C22" s="335"/>
      <c r="D22" s="335"/>
      <c r="E22" s="346"/>
      <c r="F22" s="340">
        <v>10</v>
      </c>
      <c r="G22" s="341"/>
      <c r="H22" s="329" t="e">
        <f>VLOOKUP($B$1,'서류,현장심사 결과'!$A$3:$AY$200,17,0)</f>
        <v>#N/A</v>
      </c>
      <c r="I22" s="348"/>
      <c r="J22" s="365" t="s">
        <v>162</v>
      </c>
      <c r="K22" s="335"/>
      <c r="L22" s="354">
        <v>10</v>
      </c>
      <c r="M22" s="354"/>
      <c r="N22" s="335" t="e">
        <f>VLOOKUP($B$1,'서류,현장심사 결과'!$A$3:$AY$200,40,0)</f>
        <v>#N/A</v>
      </c>
      <c r="O22" s="335"/>
    </row>
    <row r="23" spans="1:15" ht="18.95" customHeight="1" x14ac:dyDescent="0.3">
      <c r="A23" s="343"/>
      <c r="B23" s="345" t="s">
        <v>173</v>
      </c>
      <c r="C23" s="335"/>
      <c r="D23" s="335"/>
      <c r="E23" s="346"/>
      <c r="F23" s="340">
        <v>10</v>
      </c>
      <c r="G23" s="341"/>
      <c r="H23" s="329" t="e">
        <f>VLOOKUP($B$1,'서류,현장심사 결과'!$A$3:$AY$200,18,0)</f>
        <v>#N/A</v>
      </c>
      <c r="I23" s="348"/>
      <c r="J23" s="361" t="s">
        <v>163</v>
      </c>
      <c r="K23" s="362"/>
      <c r="L23" s="362">
        <v>10</v>
      </c>
      <c r="M23" s="362"/>
      <c r="N23" s="312" t="e">
        <f>VLOOKUP($B$1,'서류,현장심사 결과'!$A$3:$AY$200,33,0)</f>
        <v>#N/A</v>
      </c>
      <c r="O23" s="313"/>
    </row>
    <row r="24" spans="1:15" ht="18.95" customHeight="1" x14ac:dyDescent="0.3">
      <c r="A24" s="343"/>
      <c r="B24" s="335"/>
      <c r="C24" s="335"/>
      <c r="D24" s="335"/>
      <c r="E24" s="346"/>
      <c r="F24" s="340"/>
      <c r="G24" s="341"/>
      <c r="H24" s="329"/>
      <c r="I24" s="348"/>
      <c r="J24" s="361" t="s">
        <v>164</v>
      </c>
      <c r="K24" s="362"/>
      <c r="L24" s="362">
        <v>8</v>
      </c>
      <c r="M24" s="362"/>
      <c r="N24" s="314"/>
      <c r="O24" s="315"/>
    </row>
    <row r="25" spans="1:15" ht="18.95" customHeight="1" x14ac:dyDescent="0.3">
      <c r="A25" s="343"/>
      <c r="B25" s="335"/>
      <c r="C25" s="335"/>
      <c r="D25" s="335"/>
      <c r="E25" s="346"/>
      <c r="F25" s="340"/>
      <c r="G25" s="341"/>
      <c r="H25" s="329"/>
      <c r="I25" s="348"/>
      <c r="J25" s="361" t="s">
        <v>165</v>
      </c>
      <c r="K25" s="362"/>
      <c r="L25" s="362">
        <v>6</v>
      </c>
      <c r="M25" s="362"/>
      <c r="N25" s="316"/>
      <c r="O25" s="317"/>
    </row>
    <row r="26" spans="1:15" ht="18.95" customHeight="1" x14ac:dyDescent="0.3">
      <c r="A26" s="343"/>
      <c r="B26" s="335" t="s">
        <v>166</v>
      </c>
      <c r="C26" s="335"/>
      <c r="D26" s="335"/>
      <c r="E26" s="346"/>
      <c r="F26" s="340">
        <v>5</v>
      </c>
      <c r="G26" s="341"/>
      <c r="H26" s="329" t="e">
        <f>VLOOKUP($B$1,'서류,현장심사 결과'!$A$3:$AY$200,19,0)</f>
        <v>#N/A</v>
      </c>
      <c r="I26" s="348"/>
      <c r="J26" s="363" t="s">
        <v>152</v>
      </c>
      <c r="K26" s="364"/>
      <c r="L26" s="354">
        <v>1</v>
      </c>
      <c r="M26" s="354"/>
      <c r="N26" s="335" t="e">
        <f>VLOOKUP($B$1,'서류,현장심사 결과'!$A$3:$AY$200,35,0)</f>
        <v>#N/A</v>
      </c>
      <c r="O26" s="335"/>
    </row>
    <row r="27" spans="1:15" ht="18.95" customHeight="1" x14ac:dyDescent="0.3">
      <c r="A27" s="343"/>
      <c r="B27" s="335"/>
      <c r="C27" s="335"/>
      <c r="D27" s="335"/>
      <c r="E27" s="346"/>
      <c r="F27" s="340"/>
      <c r="G27" s="341"/>
      <c r="H27" s="329"/>
      <c r="I27" s="348"/>
      <c r="J27" s="363" t="s">
        <v>170</v>
      </c>
      <c r="K27" s="364"/>
      <c r="L27" s="354">
        <v>1</v>
      </c>
      <c r="M27" s="354"/>
      <c r="N27" s="335" t="e">
        <f>VLOOKUP($B$1,'서류,현장심사 결과'!$A$3:$AY$200,36,0)</f>
        <v>#N/A</v>
      </c>
      <c r="O27" s="335"/>
    </row>
    <row r="28" spans="1:15" ht="18.95" customHeight="1" x14ac:dyDescent="0.3">
      <c r="A28" s="343"/>
      <c r="B28" s="335"/>
      <c r="C28" s="335"/>
      <c r="D28" s="335"/>
      <c r="E28" s="346"/>
      <c r="F28" s="340"/>
      <c r="G28" s="341"/>
      <c r="H28" s="329"/>
      <c r="I28" s="348"/>
      <c r="J28" s="363" t="s">
        <v>154</v>
      </c>
      <c r="K28" s="364"/>
      <c r="L28" s="354">
        <v>1</v>
      </c>
      <c r="M28" s="354"/>
      <c r="N28" s="335" t="e">
        <f>VLOOKUP($B$1,'서류,현장심사 결과'!$A$3:$AY$200,37,0)</f>
        <v>#N/A</v>
      </c>
      <c r="O28" s="335"/>
    </row>
    <row r="29" spans="1:15" ht="18.95" customHeight="1" x14ac:dyDescent="0.3">
      <c r="A29" s="343"/>
      <c r="B29" s="335"/>
      <c r="C29" s="335"/>
      <c r="D29" s="335"/>
      <c r="E29" s="346"/>
      <c r="F29" s="340"/>
      <c r="G29" s="341"/>
      <c r="H29" s="329"/>
      <c r="I29" s="348"/>
      <c r="J29" s="363" t="s">
        <v>171</v>
      </c>
      <c r="K29" s="364"/>
      <c r="L29" s="354">
        <v>2</v>
      </c>
      <c r="M29" s="354"/>
      <c r="N29" s="335" t="e">
        <f>VLOOKUP($B$1,'서류,현장심사 결과'!$A$3:$AY$200,38,0)</f>
        <v>#N/A</v>
      </c>
      <c r="O29" s="335"/>
    </row>
    <row r="30" spans="1:15" ht="18.95" customHeight="1" x14ac:dyDescent="0.3">
      <c r="A30" s="343"/>
      <c r="B30" s="345" t="s">
        <v>175</v>
      </c>
      <c r="C30" s="335"/>
      <c r="D30" s="335"/>
      <c r="E30" s="346"/>
      <c r="F30" s="340">
        <v>5</v>
      </c>
      <c r="G30" s="341"/>
      <c r="H30" s="329" t="e">
        <f>VLOOKUP($B$1,'서류,현장심사 결과'!$A$3:$AY$200,20,0)</f>
        <v>#N/A</v>
      </c>
      <c r="I30" s="348"/>
      <c r="J30" s="361" t="s">
        <v>167</v>
      </c>
      <c r="K30" s="362"/>
      <c r="L30" s="362">
        <v>5</v>
      </c>
      <c r="M30" s="362"/>
      <c r="N30" s="312" t="e">
        <f>VLOOKUP($B$1,'서류,현장심사 결과'!$A$3:$AY$200,39,0)</f>
        <v>#N/A</v>
      </c>
      <c r="O30" s="313"/>
    </row>
    <row r="31" spans="1:15" ht="18.95" customHeight="1" x14ac:dyDescent="0.3">
      <c r="A31" s="343"/>
      <c r="B31" s="335"/>
      <c r="C31" s="335"/>
      <c r="D31" s="335"/>
      <c r="E31" s="346"/>
      <c r="F31" s="340"/>
      <c r="G31" s="341"/>
      <c r="H31" s="329"/>
      <c r="I31" s="348"/>
      <c r="J31" s="361" t="s">
        <v>168</v>
      </c>
      <c r="K31" s="362"/>
      <c r="L31" s="362">
        <v>3</v>
      </c>
      <c r="M31" s="362"/>
      <c r="N31" s="314"/>
      <c r="O31" s="315"/>
    </row>
    <row r="32" spans="1:15" ht="18.95" customHeight="1" x14ac:dyDescent="0.3">
      <c r="A32" s="344"/>
      <c r="B32" s="335"/>
      <c r="C32" s="335"/>
      <c r="D32" s="335"/>
      <c r="E32" s="346"/>
      <c r="F32" s="340"/>
      <c r="G32" s="341"/>
      <c r="H32" s="329"/>
      <c r="I32" s="348"/>
      <c r="J32" s="361" t="s">
        <v>165</v>
      </c>
      <c r="K32" s="362"/>
      <c r="L32" s="362">
        <v>1</v>
      </c>
      <c r="M32" s="362"/>
      <c r="N32" s="316"/>
      <c r="O32" s="317"/>
    </row>
    <row r="33" spans="1:15" ht="18.95" customHeight="1" x14ac:dyDescent="0.3">
      <c r="A33" s="330" t="s">
        <v>176</v>
      </c>
      <c r="B33" s="330"/>
      <c r="C33" s="330"/>
      <c r="D33" s="330"/>
      <c r="E33" s="330"/>
      <c r="F33" s="330"/>
      <c r="G33" s="326" t="s">
        <v>169</v>
      </c>
      <c r="H33" s="326"/>
      <c r="I33" s="326"/>
      <c r="J33" s="326"/>
      <c r="K33" s="326"/>
      <c r="L33" s="326" t="s">
        <v>144</v>
      </c>
      <c r="M33" s="326"/>
      <c r="N33" s="326" t="s">
        <v>155</v>
      </c>
      <c r="O33" s="326"/>
    </row>
    <row r="34" spans="1:15" ht="18.95" customHeight="1" x14ac:dyDescent="0.3">
      <c r="A34" s="326" t="s">
        <v>172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>
        <v>10</v>
      </c>
      <c r="M34" s="326"/>
      <c r="N34" s="332" t="e">
        <f>SUM(N38:O42,N35:O36)</f>
        <v>#N/A</v>
      </c>
      <c r="O34" s="332"/>
    </row>
    <row r="35" spans="1:15" ht="18.95" customHeight="1" x14ac:dyDescent="0.3">
      <c r="A35" s="367" t="s">
        <v>177</v>
      </c>
      <c r="B35" s="367"/>
      <c r="C35" s="367"/>
      <c r="D35" s="367"/>
      <c r="E35" s="367"/>
      <c r="F35" s="367"/>
      <c r="G35" s="367" t="s">
        <v>185</v>
      </c>
      <c r="H35" s="367"/>
      <c r="I35" s="367"/>
      <c r="J35" s="367"/>
      <c r="K35" s="367"/>
      <c r="L35" s="335">
        <v>2</v>
      </c>
      <c r="M35" s="335"/>
      <c r="N35" s="335" t="e">
        <f>VLOOKUP($B$1,'서류,현장심사 결과'!$A$3:$AY$200,47,0)</f>
        <v>#N/A</v>
      </c>
      <c r="O35" s="335"/>
    </row>
    <row r="36" spans="1:15" ht="18.95" customHeight="1" x14ac:dyDescent="0.3">
      <c r="A36" s="367" t="s">
        <v>178</v>
      </c>
      <c r="B36" s="367"/>
      <c r="C36" s="367"/>
      <c r="D36" s="367"/>
      <c r="E36" s="367"/>
      <c r="F36" s="367"/>
      <c r="G36" s="367" t="s">
        <v>186</v>
      </c>
      <c r="H36" s="367"/>
      <c r="I36" s="367"/>
      <c r="J36" s="367"/>
      <c r="K36" s="367"/>
      <c r="L36" s="335">
        <v>3</v>
      </c>
      <c r="M36" s="335"/>
      <c r="N36" s="335" t="e">
        <f>VLOOKUP($B$1,'서류,현장심사 결과'!$A$3:$AY$200,48,0)</f>
        <v>#N/A</v>
      </c>
      <c r="O36" s="335"/>
    </row>
    <row r="37" spans="1:15" ht="18.95" customHeight="1" x14ac:dyDescent="0.3">
      <c r="A37" s="368" t="s">
        <v>179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70"/>
    </row>
    <row r="38" spans="1:15" ht="18.95" customHeight="1" x14ac:dyDescent="0.3">
      <c r="A38" s="342"/>
      <c r="B38" s="367" t="s">
        <v>180</v>
      </c>
      <c r="C38" s="367"/>
      <c r="D38" s="367"/>
      <c r="E38" s="367"/>
      <c r="F38" s="367"/>
      <c r="G38" s="303" t="s">
        <v>187</v>
      </c>
      <c r="H38" s="304"/>
      <c r="I38" s="304"/>
      <c r="J38" s="304"/>
      <c r="K38" s="305"/>
      <c r="L38" s="335">
        <v>1</v>
      </c>
      <c r="M38" s="335"/>
      <c r="N38" s="335" t="e">
        <f>VLOOKUP($B$1,'서류,현장심사 결과'!$A$3:$AY$200,42,0)</f>
        <v>#N/A</v>
      </c>
      <c r="O38" s="335"/>
    </row>
    <row r="39" spans="1:15" ht="18.95" customHeight="1" x14ac:dyDescent="0.3">
      <c r="A39" s="343"/>
      <c r="B39" s="367" t="s">
        <v>181</v>
      </c>
      <c r="C39" s="367"/>
      <c r="D39" s="367"/>
      <c r="E39" s="367"/>
      <c r="F39" s="367"/>
      <c r="G39" s="306"/>
      <c r="H39" s="307"/>
      <c r="I39" s="307"/>
      <c r="J39" s="307"/>
      <c r="K39" s="308"/>
      <c r="L39" s="335">
        <v>1</v>
      </c>
      <c r="M39" s="335"/>
      <c r="N39" s="335" t="e">
        <f>VLOOKUP($B$1,'서류,현장심사 결과'!$A$3:$AY$200,43,0)</f>
        <v>#N/A</v>
      </c>
      <c r="O39" s="335"/>
    </row>
    <row r="40" spans="1:15" ht="18.95" customHeight="1" x14ac:dyDescent="0.3">
      <c r="A40" s="343"/>
      <c r="B40" s="367" t="s">
        <v>182</v>
      </c>
      <c r="C40" s="367"/>
      <c r="D40" s="367"/>
      <c r="E40" s="367"/>
      <c r="F40" s="367"/>
      <c r="G40" s="306"/>
      <c r="H40" s="307"/>
      <c r="I40" s="307"/>
      <c r="J40" s="307"/>
      <c r="K40" s="308"/>
      <c r="L40" s="335">
        <v>1</v>
      </c>
      <c r="M40" s="335"/>
      <c r="N40" s="335" t="e">
        <f>VLOOKUP($B$1,'서류,현장심사 결과'!$A$3:$AY$200,44,0)</f>
        <v>#N/A</v>
      </c>
      <c r="O40" s="335"/>
    </row>
    <row r="41" spans="1:15" ht="18.95" customHeight="1" x14ac:dyDescent="0.3">
      <c r="A41" s="343"/>
      <c r="B41" s="367" t="s">
        <v>183</v>
      </c>
      <c r="C41" s="367"/>
      <c r="D41" s="367"/>
      <c r="E41" s="367"/>
      <c r="F41" s="367"/>
      <c r="G41" s="306"/>
      <c r="H41" s="307"/>
      <c r="I41" s="307"/>
      <c r="J41" s="307"/>
      <c r="K41" s="308"/>
      <c r="L41" s="335">
        <v>1</v>
      </c>
      <c r="M41" s="335"/>
      <c r="N41" s="335" t="e">
        <f>VLOOKUP($B$1,'서류,현장심사 결과'!$A$3:$AY$200,45,0)</f>
        <v>#N/A</v>
      </c>
      <c r="O41" s="335"/>
    </row>
    <row r="42" spans="1:15" ht="18.95" customHeight="1" x14ac:dyDescent="0.3">
      <c r="A42" s="344"/>
      <c r="B42" s="367" t="s">
        <v>184</v>
      </c>
      <c r="C42" s="367"/>
      <c r="D42" s="367"/>
      <c r="E42" s="367"/>
      <c r="F42" s="367"/>
      <c r="G42" s="309"/>
      <c r="H42" s="310"/>
      <c r="I42" s="310"/>
      <c r="J42" s="310"/>
      <c r="K42" s="311"/>
      <c r="L42" s="335">
        <v>1</v>
      </c>
      <c r="M42" s="335"/>
      <c r="N42" s="335" t="e">
        <f>VLOOKUP($B$1,'서류,현장심사 결과'!$A$3:$AY$200,46,0)</f>
        <v>#N/A</v>
      </c>
      <c r="O42" s="335"/>
    </row>
    <row r="43" spans="1:15" ht="6.75" customHeight="1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8.95" customHeight="1" x14ac:dyDescent="0.3">
      <c r="A44" s="302" t="s">
        <v>312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</row>
    <row r="45" spans="1:15" ht="18.95" customHeight="1" x14ac:dyDescent="0.3">
      <c r="A45" s="303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5"/>
    </row>
    <row r="46" spans="1:15" ht="18.95" customHeight="1" x14ac:dyDescent="0.3">
      <c r="A46" s="306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8"/>
    </row>
    <row r="47" spans="1:15" ht="18.95" customHeight="1" x14ac:dyDescent="0.3">
      <c r="A47" s="306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8"/>
    </row>
    <row r="48" spans="1:15" ht="18.95" customHeight="1" x14ac:dyDescent="0.3">
      <c r="A48" s="309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1"/>
    </row>
    <row r="49" spans="1:15" ht="24" x14ac:dyDescent="0.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24" x14ac:dyDescent="0.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24" x14ac:dyDescent="0.3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24" x14ac:dyDescent="0.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ht="24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24" x14ac:dyDescent="0.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</sheetData>
  <mergeCells count="155">
    <mergeCell ref="A38:A42"/>
    <mergeCell ref="A37:O37"/>
    <mergeCell ref="N36:O36"/>
    <mergeCell ref="N38:O38"/>
    <mergeCell ref="N39:O39"/>
    <mergeCell ref="N40:O40"/>
    <mergeCell ref="N41:O41"/>
    <mergeCell ref="N42:O42"/>
    <mergeCell ref="G36:K36"/>
    <mergeCell ref="L42:M42"/>
    <mergeCell ref="L41:M41"/>
    <mergeCell ref="L40:M40"/>
    <mergeCell ref="L39:M39"/>
    <mergeCell ref="L38:M38"/>
    <mergeCell ref="L36:M36"/>
    <mergeCell ref="G38:K42"/>
    <mergeCell ref="H30:I32"/>
    <mergeCell ref="H26:I29"/>
    <mergeCell ref="L26:M26"/>
    <mergeCell ref="N26:O26"/>
    <mergeCell ref="L30:M30"/>
    <mergeCell ref="L31:M31"/>
    <mergeCell ref="L32:M32"/>
    <mergeCell ref="B42:F42"/>
    <mergeCell ref="B41:F41"/>
    <mergeCell ref="B40:F40"/>
    <mergeCell ref="B39:F39"/>
    <mergeCell ref="B38:F38"/>
    <mergeCell ref="A36:F36"/>
    <mergeCell ref="A35:F35"/>
    <mergeCell ref="A33:F33"/>
    <mergeCell ref="N35:O35"/>
    <mergeCell ref="L35:M35"/>
    <mergeCell ref="N34:O34"/>
    <mergeCell ref="L34:M34"/>
    <mergeCell ref="N33:O33"/>
    <mergeCell ref="L33:M33"/>
    <mergeCell ref="G33:K33"/>
    <mergeCell ref="G35:K35"/>
    <mergeCell ref="J19:K19"/>
    <mergeCell ref="J18:K18"/>
    <mergeCell ref="H18:I21"/>
    <mergeCell ref="L27:M27"/>
    <mergeCell ref="N27:O27"/>
    <mergeCell ref="L28:M28"/>
    <mergeCell ref="N28:O28"/>
    <mergeCell ref="L29:M29"/>
    <mergeCell ref="N29:O29"/>
    <mergeCell ref="J15:K15"/>
    <mergeCell ref="J14:K14"/>
    <mergeCell ref="L15:M15"/>
    <mergeCell ref="N15:O15"/>
    <mergeCell ref="L16:M16"/>
    <mergeCell ref="N16:O16"/>
    <mergeCell ref="L17:M17"/>
    <mergeCell ref="N17:O17"/>
    <mergeCell ref="H23:I25"/>
    <mergeCell ref="H22:I22"/>
    <mergeCell ref="L18:M18"/>
    <mergeCell ref="N18:O18"/>
    <mergeCell ref="L19:M19"/>
    <mergeCell ref="N19:O19"/>
    <mergeCell ref="L20:M20"/>
    <mergeCell ref="N20:O20"/>
    <mergeCell ref="L24:M24"/>
    <mergeCell ref="L25:M25"/>
    <mergeCell ref="L21:M21"/>
    <mergeCell ref="N21:O21"/>
    <mergeCell ref="L22:M22"/>
    <mergeCell ref="N22:O22"/>
    <mergeCell ref="L23:M23"/>
    <mergeCell ref="J20:K20"/>
    <mergeCell ref="J32:K32"/>
    <mergeCell ref="J31:K31"/>
    <mergeCell ref="J30:K30"/>
    <mergeCell ref="J26:K26"/>
    <mergeCell ref="J25:K25"/>
    <mergeCell ref="J24:K24"/>
    <mergeCell ref="J23:K23"/>
    <mergeCell ref="J22:K22"/>
    <mergeCell ref="J21:K21"/>
    <mergeCell ref="J29:K29"/>
    <mergeCell ref="J28:K28"/>
    <mergeCell ref="J27:K27"/>
    <mergeCell ref="H14:I17"/>
    <mergeCell ref="J10:K10"/>
    <mergeCell ref="J13:K13"/>
    <mergeCell ref="F7:I7"/>
    <mergeCell ref="H8:I8"/>
    <mergeCell ref="F8:G8"/>
    <mergeCell ref="J7:O7"/>
    <mergeCell ref="N10:O10"/>
    <mergeCell ref="N9:O9"/>
    <mergeCell ref="L10:M10"/>
    <mergeCell ref="L9:M9"/>
    <mergeCell ref="J11:K12"/>
    <mergeCell ref="H13:I13"/>
    <mergeCell ref="H12:I12"/>
    <mergeCell ref="H11:I11"/>
    <mergeCell ref="H10:I10"/>
    <mergeCell ref="L8:M8"/>
    <mergeCell ref="N8:O8"/>
    <mergeCell ref="J17:K17"/>
    <mergeCell ref="J16:K16"/>
    <mergeCell ref="N14:O14"/>
    <mergeCell ref="L14:M14"/>
    <mergeCell ref="N13:O13"/>
    <mergeCell ref="L13:M13"/>
    <mergeCell ref="A10:E10"/>
    <mergeCell ref="F13:G13"/>
    <mergeCell ref="F12:G12"/>
    <mergeCell ref="F11:G11"/>
    <mergeCell ref="F10:G10"/>
    <mergeCell ref="A14:A32"/>
    <mergeCell ref="A11:A12"/>
    <mergeCell ref="A5:B5"/>
    <mergeCell ref="B23:E25"/>
    <mergeCell ref="B26:E29"/>
    <mergeCell ref="B30:E32"/>
    <mergeCell ref="B22:E22"/>
    <mergeCell ref="F30:G32"/>
    <mergeCell ref="F26:G29"/>
    <mergeCell ref="F23:G25"/>
    <mergeCell ref="B14:E17"/>
    <mergeCell ref="B18:E21"/>
    <mergeCell ref="F14:G17"/>
    <mergeCell ref="B11:E11"/>
    <mergeCell ref="B12:E12"/>
    <mergeCell ref="A13:E13"/>
    <mergeCell ref="F22:G22"/>
    <mergeCell ref="F18:G21"/>
    <mergeCell ref="A44:O44"/>
    <mergeCell ref="A45:O48"/>
    <mergeCell ref="N23:O25"/>
    <mergeCell ref="N30:O32"/>
    <mergeCell ref="N11:O12"/>
    <mergeCell ref="L11:M12"/>
    <mergeCell ref="A3:B3"/>
    <mergeCell ref="C3:G3"/>
    <mergeCell ref="H3:J3"/>
    <mergeCell ref="K3:O3"/>
    <mergeCell ref="A4:B4"/>
    <mergeCell ref="C4:G4"/>
    <mergeCell ref="H4:J4"/>
    <mergeCell ref="K4:O4"/>
    <mergeCell ref="A34:K34"/>
    <mergeCell ref="H5:J5"/>
    <mergeCell ref="F9:G9"/>
    <mergeCell ref="H9:I9"/>
    <mergeCell ref="J8:K8"/>
    <mergeCell ref="J9:K9"/>
    <mergeCell ref="K5:O5"/>
    <mergeCell ref="C5:G5"/>
    <mergeCell ref="A7:E8"/>
    <mergeCell ref="A9:E9"/>
  </mergeCells>
  <phoneticPr fontId="2" type="noConversion"/>
  <pageMargins left="0.27" right="0.3" top="0.46" bottom="0.19" header="0.3" footer="0.16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서식 1,2,3,4</vt:lpstr>
      <vt:lpstr>개별 접수내역 및 서류심사</vt:lpstr>
      <vt:lpstr>현장심사표</vt:lpstr>
      <vt:lpstr>서류,현장심사 결과</vt:lpstr>
      <vt:lpstr>심의위원회 자료</vt:lpstr>
      <vt:lpstr>'서식 1,2,3,4'!Print_Area</vt:lpstr>
      <vt:lpstr>'심의위원회 자료'!Print_Area</vt:lpstr>
      <vt:lpstr>현장심사표!Print_Area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박상민</cp:lastModifiedBy>
  <cp:lastPrinted>2021-04-21T01:48:27Z</cp:lastPrinted>
  <dcterms:created xsi:type="dcterms:W3CDTF">2020-06-02T00:54:04Z</dcterms:created>
  <dcterms:modified xsi:type="dcterms:W3CDTF">2021-05-11T22:39:10Z</dcterms:modified>
</cp:coreProperties>
</file>